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drawings/drawing9.xml" ContentType="application/vnd.openxmlformats-officedocument.drawing+xml"/>
  <Override PartName="/xl/charts/chart13.xml" ContentType="application/vnd.openxmlformats-officedocument.drawingml.chart+xml"/>
  <Override PartName="/xl/drawings/drawing10.xml" ContentType="application/vnd.openxmlformats-officedocument.drawing+xml"/>
  <Override PartName="/xl/charts/chart14.xml" ContentType="application/vnd.openxmlformats-officedocument.drawingml.chart+xml"/>
  <Override PartName="/xl/drawings/drawing11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opbox\bt-content\FRM\FRM XLS\T1\T1-FRM5_to_FRM6-capm-apt\"/>
    </mc:Choice>
  </mc:AlternateContent>
  <xr:revisionPtr revIDLastSave="0" documentId="13_ncr:1_{72EE6441-E650-4442-9454-5852F7996913}" xr6:coauthVersionLast="47" xr6:coauthVersionMax="47" xr10:uidLastSave="{00000000-0000-0000-0000-000000000000}"/>
  <bookViews>
    <workbookView xWindow="31110" yWindow="11205" windowWidth="20445" windowHeight="14325" activeTab="4" xr2:uid="{00000000-000D-0000-FFFF-FFFF00000000}"/>
  </bookViews>
  <sheets>
    <sheet name="TOC" sheetId="15" r:id="rId1"/>
    <sheet name="T1-PPC-MVP" sheetId="1" r:id="rId2"/>
    <sheet name="T1-CML" sheetId="3" r:id="rId3"/>
    <sheet name="T1-SML" sheetId="4" r:id="rId4"/>
    <sheet name="CML vs SML" sheetId="22" r:id="rId5"/>
    <sheet name="arch" sheetId="14" r:id="rId6"/>
    <sheet name="BTPQ 20-8-1" sheetId="18" r:id="rId7"/>
    <sheet name="BTPQ 20-8-1a" sheetId="19" r:id="rId8"/>
    <sheet name="BTPQ 20-8-2" sheetId="20" r:id="rId9"/>
    <sheet name="BTPQ 20-8-3" sheetId="21" r:id="rId10"/>
    <sheet name="T1-PPC-MVP_alt2" sheetId="16" r:id="rId11"/>
    <sheet name="T1-SML_alt2" sheetId="17" r:id="rId12"/>
    <sheet name="T1-Market Portfolio" sheetId="2" r:id="rId13"/>
    <sheet name="BT p1-t2-305-1" sheetId="7" r:id="rId14"/>
    <sheet name="BT p1-t2-305-1_alt2" sheetId="12" r:id="rId15"/>
    <sheet name="BT p1-t2-305-2" sheetId="8" r:id="rId16"/>
    <sheet name="BT p1-t2-305-2_alt2" sheetId="13" r:id="rId17"/>
  </sheets>
  <externalReferences>
    <externalReference r:id="rId18"/>
    <externalReference r:id="rId19"/>
  </externalReferences>
  <definedNames>
    <definedName name="___INDEX_SHEET___ASAP_Utilities">TOC!$A$1</definedName>
    <definedName name="bond_compute_handler" localSheetId="9">'BTPQ 20-8-3'!bond_compute_handler</definedName>
    <definedName name="bond_compute_handler" localSheetId="4">'CML vs SML'!bond_compute_handler</definedName>
    <definedName name="bond_compute_handler">bond_compute_handler</definedName>
    <definedName name="Bond_Display_Tree" localSheetId="9">'BTPQ 20-8-3'!Bond_Display_Tree</definedName>
    <definedName name="Bond_Display_Tree" localSheetId="4">'CML vs SML'!Bond_Display_Tree</definedName>
    <definedName name="Bond_Display_Tree">Bond_Display_Tree</definedName>
    <definedName name="bond_graph_handler" localSheetId="9">'BTPQ 20-8-3'!bond_graph_handler</definedName>
    <definedName name="bond_graph_handler" localSheetId="4">'CML vs SML'!bond_graph_handler</definedName>
    <definedName name="bond_graph_handler">bond_graph_handler</definedName>
    <definedName name="bond_graph_input_formatter" localSheetId="9">'BTPQ 20-8-3'!bond_graph_input_formatter</definedName>
    <definedName name="bond_graph_input_formatter" localSheetId="4">'CML vs SML'!bond_graph_input_formatter</definedName>
    <definedName name="bond_graph_input_formatter">bond_graph_input_formatter</definedName>
    <definedName name="Bond_Option_Select" localSheetId="9">'BTPQ 20-8-3'!Bond_Option_Select</definedName>
    <definedName name="Bond_Option_Select" localSheetId="4">'CML vs SML'!Bond_Option_Select</definedName>
    <definedName name="Bond_Option_Select">Bond_Option_Select</definedName>
    <definedName name="Cap_or_Swap_Option_Select" localSheetId="9">'BTPQ 20-8-3'!Cap_or_Swap_Option_Select</definedName>
    <definedName name="Cap_or_Swap_Option_Select" localSheetId="4">'CML vs SML'!Cap_or_Swap_Option_Select</definedName>
    <definedName name="Cap_or_Swap_Option_Select">Cap_or_Swap_Option_Select</definedName>
    <definedName name="Cap_or_Swap_Select" localSheetId="9">'BTPQ 20-8-3'!Cap_or_Swap_Select</definedName>
    <definedName name="Cap_or_Swap_Select" localSheetId="4">'CML vs SML'!Cap_or_Swap_Select</definedName>
    <definedName name="Cap_or_Swap_Select">Cap_or_Swap_Select</definedName>
    <definedName name="Equity_compute_handler" localSheetId="9">'BTPQ 20-8-3'!Equity_compute_handler</definedName>
    <definedName name="Equity_compute_handler" localSheetId="4">'CML vs SML'!Equity_compute_handler</definedName>
    <definedName name="Equity_compute_handler">Equity_compute_handler</definedName>
    <definedName name="Equity_Display_Tree" localSheetId="9">'BTPQ 20-8-3'!Equity_Display_Tree</definedName>
    <definedName name="Equity_Display_Tree" localSheetId="4">'CML vs SML'!Equity_Display_Tree</definedName>
    <definedName name="Equity_Display_Tree">Equity_Display_Tree</definedName>
    <definedName name="Equity_graph_handler" localSheetId="9">'BTPQ 20-8-3'!Equity_graph_handler</definedName>
    <definedName name="Equity_graph_handler" localSheetId="4">'CML vs SML'!Equity_graph_handler</definedName>
    <definedName name="Equity_graph_handler">Equity_graph_handler</definedName>
    <definedName name="Equity_graph_input_formatter" localSheetId="9">'BTPQ 20-8-3'!Equity_graph_input_formatter</definedName>
    <definedName name="Equity_graph_input_formatter" localSheetId="4">'CML vs SML'!Equity_graph_input_formatter</definedName>
    <definedName name="Equity_graph_input_formatter">Equity_graph_input_formatter</definedName>
    <definedName name="Equity_Option_Select" localSheetId="9">'BTPQ 20-8-3'!Equity_Option_Select</definedName>
    <definedName name="Equity_Option_Select" localSheetId="4">'CML vs SML'!Equity_Option_Select</definedName>
    <definedName name="Equity_Option_Select">Equity_Option_Select</definedName>
    <definedName name="Equity_Underlying_Select" localSheetId="9">'BTPQ 20-8-3'!Equity_Underlying_Select</definedName>
    <definedName name="Equity_Underlying_Select" localSheetId="4">'CML vs SML'!Equity_Underlying_Select</definedName>
    <definedName name="Equity_Underlying_Select">Equity_Underlying_Select</definedName>
    <definedName name="Index_Sheet_Kutools" localSheetId="9">#REF!</definedName>
    <definedName name="Index_Sheet_Kutools" localSheetId="4">#REF!</definedName>
    <definedName name="Index_Sheet_Kutools" localSheetId="10">#REF!</definedName>
    <definedName name="Index_Sheet_Kutools" localSheetId="11">#REF!</definedName>
    <definedName name="Index_Sheet_Kutools">#REF!</definedName>
    <definedName name="r_a" localSheetId="9">'[1]T1-PPC-MVP'!$D$11</definedName>
    <definedName name="r_a" localSheetId="4">'CML vs SML'!$D$11</definedName>
    <definedName name="r_a" localSheetId="10">'T1-PPC-MVP_alt2'!$D$11</definedName>
    <definedName name="r_a">'T1-PPC-MVP'!$D$11</definedName>
    <definedName name="r_b" localSheetId="9">'[1]T1-PPC-MVP'!$D$16</definedName>
    <definedName name="r_b" localSheetId="4">'CML vs SML'!$D$16</definedName>
    <definedName name="r_b" localSheetId="10">'T1-PPC-MVP_alt2'!$D$16</definedName>
    <definedName name="r_b">'T1-PPC-MVP'!$D$16</definedName>
    <definedName name="rf" localSheetId="9">'[1]T1-PPC-MVP'!$D$8</definedName>
    <definedName name="rf" localSheetId="4">'CML vs SML'!$D$8</definedName>
    <definedName name="rf" localSheetId="10">'T1-PPC-MVP_alt2'!$D$8</definedName>
    <definedName name="rf">'T1-PPC-MVP'!$D$8</definedName>
    <definedName name="rho_ab" localSheetId="9">'[1]T1-PPC-MVP'!$D$21</definedName>
    <definedName name="rho_ab" localSheetId="4">'CML vs SML'!$D$21</definedName>
    <definedName name="rho_ab" localSheetId="10">'T1-PPC-MVP_alt2'!$D$21</definedName>
    <definedName name="rho_ab">'T1-PPC-MVP'!$D$21</definedName>
    <definedName name="sigma_a" localSheetId="9">'[1]T1-PPC-MVP'!$D$12</definedName>
    <definedName name="sigma_a" localSheetId="4">'CML vs SML'!$D$12</definedName>
    <definedName name="sigma_a" localSheetId="10">'T1-PPC-MVP_alt2'!$D$12</definedName>
    <definedName name="sigma_a">'T1-PPC-MVP'!$D$12</definedName>
    <definedName name="sigma_b" localSheetId="9">'[1]T1-PPC-MVP'!$D$17</definedName>
    <definedName name="sigma_b" localSheetId="4">'CML vs SML'!$D$17</definedName>
    <definedName name="sigma_b" localSheetId="10">'T1-PPC-MVP_alt2'!$D$17</definedName>
    <definedName name="sigma_b">'T1-PPC-MVP'!$D$17</definedName>
    <definedName name="solver_adj" localSheetId="13" hidden="1">'BT p1-t2-305-1'!$F$14</definedName>
    <definedName name="solver_adj" localSheetId="14" hidden="1">'BT p1-t2-305-1_alt2'!$F$14</definedName>
    <definedName name="solver_adj" localSheetId="15" hidden="1">'BT p1-t2-305-2'!$F$14</definedName>
    <definedName name="solver_adj" localSheetId="16" hidden="1">'BT p1-t2-305-2_alt2'!$F$14</definedName>
    <definedName name="solver_adj" localSheetId="6" hidden="1">'BTPQ 20-8-1'!#REF!</definedName>
    <definedName name="solver_adj" localSheetId="7" hidden="1">'BTPQ 20-8-1a'!#REF!</definedName>
    <definedName name="solver_adj" localSheetId="4" hidden="1">'CML vs SML'!#REF!</definedName>
    <definedName name="solver_adj" localSheetId="2" hidden="1">'T1-CML'!#REF!</definedName>
    <definedName name="solver_adj" localSheetId="12" hidden="1">'T1-Market Portfolio'!$F$14</definedName>
    <definedName name="solver_adj" localSheetId="1" hidden="1">'T1-PPC-MVP'!#REF!</definedName>
    <definedName name="solver_adj" localSheetId="10" hidden="1">'T1-PPC-MVP_alt2'!#REF!</definedName>
    <definedName name="solver_adj" localSheetId="3" hidden="1">'T1-SML'!$C$28</definedName>
    <definedName name="solver_adj" localSheetId="11" hidden="1">'T1-SML_alt2'!$C$28</definedName>
    <definedName name="solver_cvg" localSheetId="13" hidden="1">0.0001</definedName>
    <definedName name="solver_cvg" localSheetId="14" hidden="1">0.0001</definedName>
    <definedName name="solver_cvg" localSheetId="15" hidden="1">0.0001</definedName>
    <definedName name="solver_cvg" localSheetId="16" hidden="1">0.0001</definedName>
    <definedName name="solver_cvg" localSheetId="6" hidden="1">0.0001</definedName>
    <definedName name="solver_cvg" localSheetId="7" hidden="1">0.0001</definedName>
    <definedName name="solver_cvg" localSheetId="4" hidden="1">0.0001</definedName>
    <definedName name="solver_cvg" localSheetId="2" hidden="1">0.0001</definedName>
    <definedName name="solver_cvg" localSheetId="12" hidden="1">0.0001</definedName>
    <definedName name="solver_cvg" localSheetId="1" hidden="1">0.0001</definedName>
    <definedName name="solver_cvg" localSheetId="10" hidden="1">0.0001</definedName>
    <definedName name="solver_cvg" localSheetId="3" hidden="1">0.0001</definedName>
    <definedName name="solver_cvg" localSheetId="11" hidden="1">0.0001</definedName>
    <definedName name="solver_drv" localSheetId="13" hidden="1">1</definedName>
    <definedName name="solver_drv" localSheetId="14" hidden="1">1</definedName>
    <definedName name="solver_drv" localSheetId="15" hidden="1">1</definedName>
    <definedName name="solver_drv" localSheetId="16" hidden="1">1</definedName>
    <definedName name="solver_drv" localSheetId="6" hidden="1">1</definedName>
    <definedName name="solver_drv" localSheetId="7" hidden="1">1</definedName>
    <definedName name="solver_drv" localSheetId="4" hidden="1">1</definedName>
    <definedName name="solver_drv" localSheetId="2" hidden="1">1</definedName>
    <definedName name="solver_drv" localSheetId="12" hidden="1">1</definedName>
    <definedName name="solver_drv" localSheetId="1" hidden="1">1</definedName>
    <definedName name="solver_drv" localSheetId="10" hidden="1">1</definedName>
    <definedName name="solver_drv" localSheetId="3" hidden="1">1</definedName>
    <definedName name="solver_drv" localSheetId="11" hidden="1">1</definedName>
    <definedName name="solver_eng" localSheetId="13" hidden="1">1</definedName>
    <definedName name="solver_eng" localSheetId="14" hidden="1">1</definedName>
    <definedName name="solver_eng" localSheetId="15" hidden="1">1</definedName>
    <definedName name="solver_eng" localSheetId="16" hidden="1">1</definedName>
    <definedName name="solver_eng" localSheetId="7" hidden="1">1</definedName>
    <definedName name="solver_eng" localSheetId="2" hidden="1">1</definedName>
    <definedName name="solver_eng" localSheetId="12" hidden="1">1</definedName>
    <definedName name="solver_est" localSheetId="13" hidden="1">1</definedName>
    <definedName name="solver_est" localSheetId="14" hidden="1">1</definedName>
    <definedName name="solver_est" localSheetId="15" hidden="1">1</definedName>
    <definedName name="solver_est" localSheetId="16" hidden="1">1</definedName>
    <definedName name="solver_est" localSheetId="6" hidden="1">1</definedName>
    <definedName name="solver_est" localSheetId="7" hidden="1">1</definedName>
    <definedName name="solver_est" localSheetId="4" hidden="1">1</definedName>
    <definedName name="solver_est" localSheetId="2" hidden="1">1</definedName>
    <definedName name="solver_est" localSheetId="12" hidden="1">1</definedName>
    <definedName name="solver_est" localSheetId="1" hidden="1">1</definedName>
    <definedName name="solver_est" localSheetId="10" hidden="1">1</definedName>
    <definedName name="solver_est" localSheetId="3" hidden="1">1</definedName>
    <definedName name="solver_est" localSheetId="11" hidden="1">1</definedName>
    <definedName name="solver_itr" localSheetId="13" hidden="1">100</definedName>
    <definedName name="solver_itr" localSheetId="14" hidden="1">100</definedName>
    <definedName name="solver_itr" localSheetId="15" hidden="1">100</definedName>
    <definedName name="solver_itr" localSheetId="16" hidden="1">100</definedName>
    <definedName name="solver_itr" localSheetId="6" hidden="1">100</definedName>
    <definedName name="solver_itr" localSheetId="7" hidden="1">100</definedName>
    <definedName name="solver_itr" localSheetId="4" hidden="1">100</definedName>
    <definedName name="solver_itr" localSheetId="2" hidden="1">100</definedName>
    <definedName name="solver_itr" localSheetId="12" hidden="1">100</definedName>
    <definedName name="solver_itr" localSheetId="1" hidden="1">100</definedName>
    <definedName name="solver_itr" localSheetId="10" hidden="1">100</definedName>
    <definedName name="solver_itr" localSheetId="3" hidden="1">100</definedName>
    <definedName name="solver_itr" localSheetId="11" hidden="1">100</definedName>
    <definedName name="solver_lin" localSheetId="13" hidden="1">2</definedName>
    <definedName name="solver_lin" localSheetId="14" hidden="1">2</definedName>
    <definedName name="solver_lin" localSheetId="15" hidden="1">2</definedName>
    <definedName name="solver_lin" localSheetId="16" hidden="1">2</definedName>
    <definedName name="solver_lin" localSheetId="6" hidden="1">2</definedName>
    <definedName name="solver_lin" localSheetId="7" hidden="1">2</definedName>
    <definedName name="solver_lin" localSheetId="4" hidden="1">2</definedName>
    <definedName name="solver_lin" localSheetId="2" hidden="1">2</definedName>
    <definedName name="solver_lin" localSheetId="12" hidden="1">2</definedName>
    <definedName name="solver_lin" localSheetId="1" hidden="1">2</definedName>
    <definedName name="solver_lin" localSheetId="10" hidden="1">2</definedName>
    <definedName name="solver_lin" localSheetId="3" hidden="1">2</definedName>
    <definedName name="solver_lin" localSheetId="11" hidden="1">2</definedName>
    <definedName name="solver_mip" localSheetId="13" hidden="1">2147483647</definedName>
    <definedName name="solver_mip" localSheetId="14" hidden="1">2147483647</definedName>
    <definedName name="solver_mip" localSheetId="15" hidden="1">2147483647</definedName>
    <definedName name="solver_mip" localSheetId="16" hidden="1">2147483647</definedName>
    <definedName name="solver_mip" localSheetId="7" hidden="1">2147483647</definedName>
    <definedName name="solver_mip" localSheetId="2" hidden="1">2147483647</definedName>
    <definedName name="solver_mip" localSheetId="12" hidden="1">2147483647</definedName>
    <definedName name="solver_mni" localSheetId="13" hidden="1">30</definedName>
    <definedName name="solver_mni" localSheetId="14" hidden="1">30</definedName>
    <definedName name="solver_mni" localSheetId="15" hidden="1">30</definedName>
    <definedName name="solver_mni" localSheetId="16" hidden="1">30</definedName>
    <definedName name="solver_mni" localSheetId="7" hidden="1">30</definedName>
    <definedName name="solver_mni" localSheetId="2" hidden="1">30</definedName>
    <definedName name="solver_mni" localSheetId="12" hidden="1">30</definedName>
    <definedName name="solver_mrt" localSheetId="13" hidden="1">0.075</definedName>
    <definedName name="solver_mrt" localSheetId="14" hidden="1">0.075</definedName>
    <definedName name="solver_mrt" localSheetId="15" hidden="1">0.075</definedName>
    <definedName name="solver_mrt" localSheetId="16" hidden="1">0.075</definedName>
    <definedName name="solver_mrt" localSheetId="7" hidden="1">0.075</definedName>
    <definedName name="solver_mrt" localSheetId="2" hidden="1">0.075</definedName>
    <definedName name="solver_mrt" localSheetId="12" hidden="1">0.075</definedName>
    <definedName name="solver_msl" localSheetId="13" hidden="1">2</definedName>
    <definedName name="solver_msl" localSheetId="14" hidden="1">2</definedName>
    <definedName name="solver_msl" localSheetId="15" hidden="1">2</definedName>
    <definedName name="solver_msl" localSheetId="16" hidden="1">2</definedName>
    <definedName name="solver_msl" localSheetId="7" hidden="1">2</definedName>
    <definedName name="solver_msl" localSheetId="2" hidden="1">2</definedName>
    <definedName name="solver_msl" localSheetId="12" hidden="1">2</definedName>
    <definedName name="solver_neg" localSheetId="13" hidden="1">2</definedName>
    <definedName name="solver_neg" localSheetId="14" hidden="1">2</definedName>
    <definedName name="solver_neg" localSheetId="15" hidden="1">2</definedName>
    <definedName name="solver_neg" localSheetId="16" hidden="1">2</definedName>
    <definedName name="solver_neg" localSheetId="6" hidden="1">2</definedName>
    <definedName name="solver_neg" localSheetId="7" hidden="1">2</definedName>
    <definedName name="solver_neg" localSheetId="4" hidden="1">2</definedName>
    <definedName name="solver_neg" localSheetId="2" hidden="1">2</definedName>
    <definedName name="solver_neg" localSheetId="12" hidden="1">2</definedName>
    <definedName name="solver_neg" localSheetId="1" hidden="1">2</definedName>
    <definedName name="solver_neg" localSheetId="10" hidden="1">2</definedName>
    <definedName name="solver_neg" localSheetId="3" hidden="1">2</definedName>
    <definedName name="solver_neg" localSheetId="11" hidden="1">2</definedName>
    <definedName name="solver_nod" localSheetId="13" hidden="1">2147483647</definedName>
    <definedName name="solver_nod" localSheetId="14" hidden="1">2147483647</definedName>
    <definedName name="solver_nod" localSheetId="15" hidden="1">2147483647</definedName>
    <definedName name="solver_nod" localSheetId="16" hidden="1">2147483647</definedName>
    <definedName name="solver_nod" localSheetId="7" hidden="1">2147483647</definedName>
    <definedName name="solver_nod" localSheetId="2" hidden="1">2147483647</definedName>
    <definedName name="solver_nod" localSheetId="12" hidden="1">2147483647</definedName>
    <definedName name="solver_num" localSheetId="13" hidden="1">0</definedName>
    <definedName name="solver_num" localSheetId="14" hidden="1">0</definedName>
    <definedName name="solver_num" localSheetId="15" hidden="1">0</definedName>
    <definedName name="solver_num" localSheetId="16" hidden="1">0</definedName>
    <definedName name="solver_num" localSheetId="6" hidden="1">0</definedName>
    <definedName name="solver_num" localSheetId="7" hidden="1">0</definedName>
    <definedName name="solver_num" localSheetId="4" hidden="1">0</definedName>
    <definedName name="solver_num" localSheetId="2" hidden="1">0</definedName>
    <definedName name="solver_num" localSheetId="12" hidden="1">0</definedName>
    <definedName name="solver_num" localSheetId="1" hidden="1">0</definedName>
    <definedName name="solver_num" localSheetId="10" hidden="1">0</definedName>
    <definedName name="solver_num" localSheetId="3" hidden="1">0</definedName>
    <definedName name="solver_num" localSheetId="11" hidden="1">0</definedName>
    <definedName name="solver_nwt" localSheetId="13" hidden="1">1</definedName>
    <definedName name="solver_nwt" localSheetId="14" hidden="1">1</definedName>
    <definedName name="solver_nwt" localSheetId="15" hidden="1">1</definedName>
    <definedName name="solver_nwt" localSheetId="16" hidden="1">1</definedName>
    <definedName name="solver_nwt" localSheetId="6" hidden="1">1</definedName>
    <definedName name="solver_nwt" localSheetId="7" hidden="1">1</definedName>
    <definedName name="solver_nwt" localSheetId="4" hidden="1">1</definedName>
    <definedName name="solver_nwt" localSheetId="2" hidden="1">1</definedName>
    <definedName name="solver_nwt" localSheetId="12" hidden="1">1</definedName>
    <definedName name="solver_nwt" localSheetId="1" hidden="1">1</definedName>
    <definedName name="solver_nwt" localSheetId="10" hidden="1">1</definedName>
    <definedName name="solver_nwt" localSheetId="3" hidden="1">1</definedName>
    <definedName name="solver_nwt" localSheetId="11" hidden="1">1</definedName>
    <definedName name="solver_opt" localSheetId="13" hidden="1">'BT p1-t2-305-1'!$J$14</definedName>
    <definedName name="solver_opt" localSheetId="14" hidden="1">'BT p1-t2-305-1_alt2'!$J$14</definedName>
    <definedName name="solver_opt" localSheetId="15" hidden="1">'BT p1-t2-305-2'!$J$14</definedName>
    <definedName name="solver_opt" localSheetId="16" hidden="1">'BT p1-t2-305-2_alt2'!$J$14</definedName>
    <definedName name="solver_opt" localSheetId="6" hidden="1">'BTPQ 20-8-1'!#REF!</definedName>
    <definedName name="solver_opt" localSheetId="7" hidden="1">'BTPQ 20-8-1a'!#REF!</definedName>
    <definedName name="solver_opt" localSheetId="4" hidden="1">'CML vs SML'!#REF!</definedName>
    <definedName name="solver_opt" localSheetId="2" hidden="1">'T1-CML'!#REF!</definedName>
    <definedName name="solver_opt" localSheetId="12" hidden="1">'T1-Market Portfolio'!$J$14</definedName>
    <definedName name="solver_opt" localSheetId="1" hidden="1">'T1-PPC-MVP'!#REF!</definedName>
    <definedName name="solver_opt" localSheetId="10" hidden="1">'T1-PPC-MVP_alt2'!#REF!</definedName>
    <definedName name="solver_opt" localSheetId="3" hidden="1">'T1-SML'!$C$33</definedName>
    <definedName name="solver_opt" localSheetId="11" hidden="1">'T1-SML_alt2'!$C$33</definedName>
    <definedName name="solver_pre" localSheetId="13" hidden="1">0.000001</definedName>
    <definedName name="solver_pre" localSheetId="14" hidden="1">0.000001</definedName>
    <definedName name="solver_pre" localSheetId="15" hidden="1">0.000001</definedName>
    <definedName name="solver_pre" localSheetId="16" hidden="1">0.000001</definedName>
    <definedName name="solver_pre" localSheetId="6" hidden="1">0.000001</definedName>
    <definedName name="solver_pre" localSheetId="7" hidden="1">0.000001</definedName>
    <definedName name="solver_pre" localSheetId="4" hidden="1">0.000001</definedName>
    <definedName name="solver_pre" localSheetId="2" hidden="1">0.000001</definedName>
    <definedName name="solver_pre" localSheetId="12" hidden="1">0.000001</definedName>
    <definedName name="solver_pre" localSheetId="1" hidden="1">0.000001</definedName>
    <definedName name="solver_pre" localSheetId="10" hidden="1">0.000001</definedName>
    <definedName name="solver_pre" localSheetId="3" hidden="1">0.000001</definedName>
    <definedName name="solver_pre" localSheetId="11" hidden="1">0.000001</definedName>
    <definedName name="solver_rbv" localSheetId="13" hidden="1">1</definedName>
    <definedName name="solver_rbv" localSheetId="14" hidden="1">1</definedName>
    <definedName name="solver_rbv" localSheetId="15" hidden="1">1</definedName>
    <definedName name="solver_rbv" localSheetId="16" hidden="1">1</definedName>
    <definedName name="solver_rbv" localSheetId="7" hidden="1">1</definedName>
    <definedName name="solver_rbv" localSheetId="2" hidden="1">1</definedName>
    <definedName name="solver_rbv" localSheetId="12" hidden="1">1</definedName>
    <definedName name="solver_rlx" localSheetId="13" hidden="1">1</definedName>
    <definedName name="solver_rlx" localSheetId="14" hidden="1">1</definedName>
    <definedName name="solver_rlx" localSheetId="15" hidden="1">1</definedName>
    <definedName name="solver_rlx" localSheetId="16" hidden="1">1</definedName>
    <definedName name="solver_rlx" localSheetId="7" hidden="1">1</definedName>
    <definedName name="solver_rlx" localSheetId="2" hidden="1">1</definedName>
    <definedName name="solver_rlx" localSheetId="12" hidden="1">1</definedName>
    <definedName name="solver_rsd" localSheetId="13" hidden="1">0</definedName>
    <definedName name="solver_rsd" localSheetId="14" hidden="1">0</definedName>
    <definedName name="solver_rsd" localSheetId="15" hidden="1">0</definedName>
    <definedName name="solver_rsd" localSheetId="16" hidden="1">0</definedName>
    <definedName name="solver_rsd" localSheetId="7" hidden="1">0</definedName>
    <definedName name="solver_rsd" localSheetId="2" hidden="1">0</definedName>
    <definedName name="solver_rsd" localSheetId="12" hidden="1">0</definedName>
    <definedName name="solver_scl" localSheetId="13" hidden="1">2</definedName>
    <definedName name="solver_scl" localSheetId="14" hidden="1">2</definedName>
    <definedName name="solver_scl" localSheetId="15" hidden="1">2</definedName>
    <definedName name="solver_scl" localSheetId="16" hidden="1">2</definedName>
    <definedName name="solver_scl" localSheetId="6" hidden="1">2</definedName>
    <definedName name="solver_scl" localSheetId="7" hidden="1">2</definedName>
    <definedName name="solver_scl" localSheetId="4" hidden="1">2</definedName>
    <definedName name="solver_scl" localSheetId="2" hidden="1">2</definedName>
    <definedName name="solver_scl" localSheetId="12" hidden="1">2</definedName>
    <definedName name="solver_scl" localSheetId="1" hidden="1">2</definedName>
    <definedName name="solver_scl" localSheetId="10" hidden="1">2</definedName>
    <definedName name="solver_scl" localSheetId="3" hidden="1">2</definedName>
    <definedName name="solver_scl" localSheetId="11" hidden="1">2</definedName>
    <definedName name="solver_sho" localSheetId="13" hidden="1">2</definedName>
    <definedName name="solver_sho" localSheetId="14" hidden="1">2</definedName>
    <definedName name="solver_sho" localSheetId="15" hidden="1">2</definedName>
    <definedName name="solver_sho" localSheetId="16" hidden="1">2</definedName>
    <definedName name="solver_sho" localSheetId="6" hidden="1">2</definedName>
    <definedName name="solver_sho" localSheetId="7" hidden="1">2</definedName>
    <definedName name="solver_sho" localSheetId="4" hidden="1">2</definedName>
    <definedName name="solver_sho" localSheetId="2" hidden="1">2</definedName>
    <definedName name="solver_sho" localSheetId="12" hidden="1">2</definedName>
    <definedName name="solver_sho" localSheetId="1" hidden="1">2</definedName>
    <definedName name="solver_sho" localSheetId="10" hidden="1">2</definedName>
    <definedName name="solver_sho" localSheetId="3" hidden="1">2</definedName>
    <definedName name="solver_sho" localSheetId="11" hidden="1">2</definedName>
    <definedName name="solver_ssz" localSheetId="13" hidden="1">100</definedName>
    <definedName name="solver_ssz" localSheetId="14" hidden="1">100</definedName>
    <definedName name="solver_ssz" localSheetId="15" hidden="1">100</definedName>
    <definedName name="solver_ssz" localSheetId="16" hidden="1">100</definedName>
    <definedName name="solver_ssz" localSheetId="7" hidden="1">100</definedName>
    <definedName name="solver_ssz" localSheetId="2" hidden="1">100</definedName>
    <definedName name="solver_ssz" localSheetId="12" hidden="1">100</definedName>
    <definedName name="solver_tim" localSheetId="13" hidden="1">100</definedName>
    <definedName name="solver_tim" localSheetId="14" hidden="1">100</definedName>
    <definedName name="solver_tim" localSheetId="15" hidden="1">100</definedName>
    <definedName name="solver_tim" localSheetId="16" hidden="1">100</definedName>
    <definedName name="solver_tim" localSheetId="6" hidden="1">100</definedName>
    <definedName name="solver_tim" localSheetId="7" hidden="1">100</definedName>
    <definedName name="solver_tim" localSheetId="4" hidden="1">100</definedName>
    <definedName name="solver_tim" localSheetId="2" hidden="1">100</definedName>
    <definedName name="solver_tim" localSheetId="12" hidden="1">100</definedName>
    <definedName name="solver_tim" localSheetId="1" hidden="1">100</definedName>
    <definedName name="solver_tim" localSheetId="10" hidden="1">100</definedName>
    <definedName name="solver_tim" localSheetId="3" hidden="1">100</definedName>
    <definedName name="solver_tim" localSheetId="11" hidden="1">100</definedName>
    <definedName name="solver_tol" localSheetId="13" hidden="1">0.05</definedName>
    <definedName name="solver_tol" localSheetId="14" hidden="1">0.05</definedName>
    <definedName name="solver_tol" localSheetId="15" hidden="1">0.05</definedName>
    <definedName name="solver_tol" localSheetId="16" hidden="1">0.05</definedName>
    <definedName name="solver_tol" localSheetId="6" hidden="1">0.05</definedName>
    <definedName name="solver_tol" localSheetId="7" hidden="1">0.05</definedName>
    <definedName name="solver_tol" localSheetId="4" hidden="1">0.05</definedName>
    <definedName name="solver_tol" localSheetId="2" hidden="1">0.05</definedName>
    <definedName name="solver_tol" localSheetId="12" hidden="1">0.05</definedName>
    <definedName name="solver_tol" localSheetId="1" hidden="1">0.05</definedName>
    <definedName name="solver_tol" localSheetId="10" hidden="1">0.05</definedName>
    <definedName name="solver_tol" localSheetId="3" hidden="1">0.05</definedName>
    <definedName name="solver_tol" localSheetId="11" hidden="1">0.05</definedName>
    <definedName name="solver_typ" localSheetId="13" hidden="1">1</definedName>
    <definedName name="solver_typ" localSheetId="14" hidden="1">1</definedName>
    <definedName name="solver_typ" localSheetId="15" hidden="1">1</definedName>
    <definedName name="solver_typ" localSheetId="16" hidden="1">1</definedName>
    <definedName name="solver_typ" localSheetId="6" hidden="1">1</definedName>
    <definedName name="solver_typ" localSheetId="7" hidden="1">1</definedName>
    <definedName name="solver_typ" localSheetId="4" hidden="1">1</definedName>
    <definedName name="solver_typ" localSheetId="2" hidden="1">1</definedName>
    <definedName name="solver_typ" localSheetId="12" hidden="1">1</definedName>
    <definedName name="solver_typ" localSheetId="1" hidden="1">1</definedName>
    <definedName name="solver_typ" localSheetId="10" hidden="1">1</definedName>
    <definedName name="solver_typ" localSheetId="3" hidden="1">3</definedName>
    <definedName name="solver_typ" localSheetId="11" hidden="1">3</definedName>
    <definedName name="solver_val" localSheetId="13" hidden="1">0.01</definedName>
    <definedName name="solver_val" localSheetId="14" hidden="1">0.01</definedName>
    <definedName name="solver_val" localSheetId="15" hidden="1">0.01</definedName>
    <definedName name="solver_val" localSheetId="16" hidden="1">0.01</definedName>
    <definedName name="solver_val" localSheetId="6" hidden="1">0.01</definedName>
    <definedName name="solver_val" localSheetId="7" hidden="1">0.01</definedName>
    <definedName name="solver_val" localSheetId="4" hidden="1">0.01</definedName>
    <definedName name="solver_val" localSheetId="2" hidden="1">0.01</definedName>
    <definedName name="solver_val" localSheetId="12" hidden="1">0.01</definedName>
    <definedName name="solver_val" localSheetId="1" hidden="1">0.01</definedName>
    <definedName name="solver_val" localSheetId="10" hidden="1">0.01</definedName>
    <definedName name="solver_val" localSheetId="3" hidden="1">0.04</definedName>
    <definedName name="solver_val" localSheetId="11" hidden="1">0.04</definedName>
    <definedName name="solver_ver" localSheetId="13" hidden="1">3</definedName>
    <definedName name="solver_ver" localSheetId="14" hidden="1">3</definedName>
    <definedName name="solver_ver" localSheetId="15" hidden="1">3</definedName>
    <definedName name="solver_ver" localSheetId="16" hidden="1">3</definedName>
    <definedName name="solver_ver" localSheetId="7" hidden="1">3</definedName>
    <definedName name="solver_ver" localSheetId="2" hidden="1">3</definedName>
    <definedName name="solver_ver" localSheetId="12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22" l="1"/>
  <c r="F40" i="22" s="1"/>
  <c r="AA29" i="22"/>
  <c r="D22" i="22"/>
  <c r="L18" i="22"/>
  <c r="D18" i="22"/>
  <c r="F35" i="22" s="1"/>
  <c r="L17" i="22"/>
  <c r="M17" i="22" s="1"/>
  <c r="M15" i="22"/>
  <c r="L15" i="22"/>
  <c r="L14" i="22" s="1"/>
  <c r="M14" i="22" s="1"/>
  <c r="L13" i="22"/>
  <c r="D13" i="22"/>
  <c r="F7" i="22"/>
  <c r="I6" i="22"/>
  <c r="H6" i="22"/>
  <c r="J6" i="22" s="1"/>
  <c r="G6" i="22"/>
  <c r="I39" i="22" l="1"/>
  <c r="D26" i="22" s="1"/>
  <c r="O17" i="22" s="1"/>
  <c r="F38" i="22"/>
  <c r="I38" i="22" s="1"/>
  <c r="G39" i="22"/>
  <c r="F36" i="22"/>
  <c r="I35" i="22"/>
  <c r="F34" i="22"/>
  <c r="G35" i="22"/>
  <c r="Y14" i="22"/>
  <c r="O14" i="22"/>
  <c r="Y17" i="22"/>
  <c r="M18" i="22"/>
  <c r="L19" i="22"/>
  <c r="H35" i="22"/>
  <c r="J35" i="22" s="1"/>
  <c r="F8" i="22"/>
  <c r="I7" i="22"/>
  <c r="H7" i="22"/>
  <c r="J7" i="22" s="1"/>
  <c r="I40" i="22"/>
  <c r="H40" i="22"/>
  <c r="G40" i="22"/>
  <c r="M13" i="22"/>
  <c r="L12" i="22"/>
  <c r="G7" i="22"/>
  <c r="Y16" i="22"/>
  <c r="O16" i="22"/>
  <c r="H39" i="22"/>
  <c r="G38" i="22"/>
  <c r="H38" i="22"/>
  <c r="J38" i="22" s="1"/>
  <c r="O15" i="22" l="1"/>
  <c r="J40" i="22"/>
  <c r="Y15" i="22"/>
  <c r="L20" i="22"/>
  <c r="M19" i="22"/>
  <c r="Y18" i="22"/>
  <c r="O18" i="22"/>
  <c r="Y13" i="22"/>
  <c r="O13" i="22"/>
  <c r="D25" i="22"/>
  <c r="J39" i="22"/>
  <c r="I34" i="22"/>
  <c r="H34" i="22"/>
  <c r="J34" i="22" s="1"/>
  <c r="G34" i="22"/>
  <c r="I36" i="22"/>
  <c r="G36" i="22"/>
  <c r="H36" i="22"/>
  <c r="L11" i="22"/>
  <c r="M12" i="22"/>
  <c r="F9" i="22"/>
  <c r="I8" i="22"/>
  <c r="G8" i="22"/>
  <c r="H8" i="22"/>
  <c r="L10" i="22" l="1"/>
  <c r="M11" i="22"/>
  <c r="F10" i="22"/>
  <c r="I9" i="22"/>
  <c r="H9" i="22"/>
  <c r="J9" i="22" s="1"/>
  <c r="G9" i="22"/>
  <c r="Y12" i="22"/>
  <c r="O12" i="22"/>
  <c r="N12" i="22"/>
  <c r="R12" i="22" s="1"/>
  <c r="J8" i="22"/>
  <c r="L21" i="22"/>
  <c r="M20" i="22"/>
  <c r="N16" i="22"/>
  <c r="N15" i="22"/>
  <c r="R15" i="22" s="1"/>
  <c r="N17" i="22"/>
  <c r="N18" i="22"/>
  <c r="N13" i="22"/>
  <c r="R13" i="22" s="1"/>
  <c r="N14" i="22"/>
  <c r="R14" i="22" s="1"/>
  <c r="Y19" i="22"/>
  <c r="O19" i="22"/>
  <c r="J36" i="22"/>
  <c r="N19" i="22"/>
  <c r="R16" i="22" l="1"/>
  <c r="AB16" i="22"/>
  <c r="Y20" i="22"/>
  <c r="O20" i="22"/>
  <c r="N20" i="22"/>
  <c r="R20" i="22" s="1"/>
  <c r="M21" i="22"/>
  <c r="L22" i="22"/>
  <c r="Q13" i="22"/>
  <c r="AB18" i="22"/>
  <c r="R18" i="22"/>
  <c r="H10" i="22"/>
  <c r="F11" i="22"/>
  <c r="I10" i="22"/>
  <c r="G10" i="22"/>
  <c r="Q14" i="22"/>
  <c r="AB17" i="22"/>
  <c r="R17" i="22"/>
  <c r="Q12" i="22"/>
  <c r="Y11" i="22"/>
  <c r="O11" i="22"/>
  <c r="AB19" i="22"/>
  <c r="R19" i="22"/>
  <c r="Q15" i="22"/>
  <c r="S15" i="22"/>
  <c r="L9" i="22"/>
  <c r="M10" i="22"/>
  <c r="N11" i="22"/>
  <c r="R11" i="22" s="1"/>
  <c r="M9" i="22" l="1"/>
  <c r="N9" i="22"/>
  <c r="R9" i="22" s="1"/>
  <c r="L8" i="22"/>
  <c r="Y10" i="22"/>
  <c r="O10" i="22"/>
  <c r="L23" i="22"/>
  <c r="M22" i="22"/>
  <c r="T12" i="22"/>
  <c r="U12" i="22"/>
  <c r="V12" i="22" s="1"/>
  <c r="W12" i="22" s="1"/>
  <c r="Y21" i="22"/>
  <c r="O21" i="22"/>
  <c r="S12" i="22"/>
  <c r="J10" i="22"/>
  <c r="Q18" i="22"/>
  <c r="S18" i="22" s="1"/>
  <c r="U15" i="22"/>
  <c r="V15" i="22" s="1"/>
  <c r="W15" i="22" s="1"/>
  <c r="T15" i="22"/>
  <c r="Q19" i="22"/>
  <c r="U13" i="22"/>
  <c r="V13" i="22" s="1"/>
  <c r="W13" i="22" s="1"/>
  <c r="T13" i="22"/>
  <c r="S13" i="22"/>
  <c r="N10" i="22"/>
  <c r="R10" i="22" s="1"/>
  <c r="H11" i="22"/>
  <c r="J11" i="22" s="1"/>
  <c r="I11" i="22"/>
  <c r="G11" i="22"/>
  <c r="F12" i="22"/>
  <c r="Q20" i="22"/>
  <c r="Q17" i="22"/>
  <c r="U14" i="22"/>
  <c r="V14" i="22" s="1"/>
  <c r="W14" i="22" s="1"/>
  <c r="T14" i="22"/>
  <c r="Q11" i="22"/>
  <c r="S11" i="22" s="1"/>
  <c r="S14" i="22"/>
  <c r="N21" i="22"/>
  <c r="R21" i="22" s="1"/>
  <c r="Q16" i="22"/>
  <c r="S16" i="22"/>
  <c r="Z13" i="22" l="1"/>
  <c r="AA13" i="22" s="1"/>
  <c r="Z15" i="22"/>
  <c r="AA15" i="22" s="1"/>
  <c r="U20" i="22"/>
  <c r="V20" i="22" s="1"/>
  <c r="W20" i="22" s="1"/>
  <c r="T20" i="22"/>
  <c r="Z20" i="22" s="1"/>
  <c r="AA20" i="22" s="1"/>
  <c r="Y22" i="22"/>
  <c r="O22" i="22"/>
  <c r="S20" i="22"/>
  <c r="N22" i="22"/>
  <c r="R22" i="22" s="1"/>
  <c r="T19" i="22"/>
  <c r="U19" i="22"/>
  <c r="V19" i="22" s="1"/>
  <c r="W19" i="22" s="1"/>
  <c r="Z14" i="22"/>
  <c r="AA14" i="22" s="1"/>
  <c r="S19" i="22"/>
  <c r="M23" i="22"/>
  <c r="N23" i="22"/>
  <c r="R23" i="22" s="1"/>
  <c r="L24" i="22"/>
  <c r="N8" i="22"/>
  <c r="R8" i="22" s="1"/>
  <c r="L7" i="22"/>
  <c r="M8" i="22"/>
  <c r="Q10" i="22"/>
  <c r="S10" i="22"/>
  <c r="Q9" i="22"/>
  <c r="U11" i="22"/>
  <c r="V11" i="22" s="1"/>
  <c r="W11" i="22" s="1"/>
  <c r="T11" i="22"/>
  <c r="Z11" i="22" s="1"/>
  <c r="AA11" i="22" s="1"/>
  <c r="F13" i="22"/>
  <c r="I12" i="22"/>
  <c r="H12" i="22"/>
  <c r="J12" i="22" s="1"/>
  <c r="G12" i="22"/>
  <c r="T16" i="22"/>
  <c r="U16" i="22"/>
  <c r="V16" i="22" s="1"/>
  <c r="W16" i="22" s="1"/>
  <c r="U17" i="22"/>
  <c r="V17" i="22" s="1"/>
  <c r="W17" i="22" s="1"/>
  <c r="T17" i="22"/>
  <c r="Z17" i="22" s="1"/>
  <c r="AA17" i="22" s="1"/>
  <c r="Q21" i="22"/>
  <c r="S17" i="22"/>
  <c r="U18" i="22"/>
  <c r="V18" i="22" s="1"/>
  <c r="W18" i="22" s="1"/>
  <c r="T18" i="22"/>
  <c r="Z12" i="22"/>
  <c r="AA12" i="22" s="1"/>
  <c r="Y9" i="22"/>
  <c r="O9" i="22"/>
  <c r="Z18" i="22" l="1"/>
  <c r="AA18" i="22" s="1"/>
  <c r="Q23" i="22"/>
  <c r="S23" i="22"/>
  <c r="L25" i="22"/>
  <c r="N24" i="22"/>
  <c r="R24" i="22" s="1"/>
  <c r="M24" i="22"/>
  <c r="U9" i="22"/>
  <c r="V9" i="22" s="1"/>
  <c r="W9" i="22" s="1"/>
  <c r="T9" i="22"/>
  <c r="Z9" i="22" s="1"/>
  <c r="AA9" i="22" s="1"/>
  <c r="S9" i="22"/>
  <c r="Y23" i="22"/>
  <c r="O23" i="22"/>
  <c r="Q22" i="22"/>
  <c r="S22" i="22"/>
  <c r="M7" i="22"/>
  <c r="L6" i="22"/>
  <c r="Z19" i="22"/>
  <c r="AA19" i="22" s="1"/>
  <c r="U21" i="22"/>
  <c r="V21" i="22" s="1"/>
  <c r="W21" i="22" s="1"/>
  <c r="T21" i="22"/>
  <c r="U10" i="22"/>
  <c r="V10" i="22" s="1"/>
  <c r="W10" i="22" s="1"/>
  <c r="T10" i="22"/>
  <c r="Q8" i="22"/>
  <c r="S8" i="22" s="1"/>
  <c r="Z16" i="22"/>
  <c r="AA16" i="22" s="1"/>
  <c r="S21" i="22"/>
  <c r="F14" i="22"/>
  <c r="I13" i="22"/>
  <c r="G13" i="22"/>
  <c r="H13" i="22"/>
  <c r="J13" i="22" s="1"/>
  <c r="Y8" i="22"/>
  <c r="O8" i="22"/>
  <c r="Z10" i="22" l="1"/>
  <c r="AA10" i="22" s="1"/>
  <c r="Y24" i="22"/>
  <c r="O24" i="22"/>
  <c r="AA30" i="22"/>
  <c r="O29" i="22"/>
  <c r="N29" i="22"/>
  <c r="S29" i="22"/>
  <c r="M6" i="22"/>
  <c r="N6" i="22"/>
  <c r="R6" i="22" s="1"/>
  <c r="Y7" i="22"/>
  <c r="O7" i="22"/>
  <c r="Z21" i="22"/>
  <c r="AA21" i="22" s="1"/>
  <c r="T22" i="22"/>
  <c r="U22" i="22"/>
  <c r="V22" i="22" s="1"/>
  <c r="W22" i="22" s="1"/>
  <c r="W29" i="22" s="1"/>
  <c r="N25" i="22"/>
  <c r="R25" i="22" s="1"/>
  <c r="M25" i="22"/>
  <c r="L26" i="22"/>
  <c r="U8" i="22"/>
  <c r="V8" i="22" s="1"/>
  <c r="W8" i="22" s="1"/>
  <c r="T8" i="22"/>
  <c r="Q24" i="22"/>
  <c r="I14" i="22"/>
  <c r="F15" i="22"/>
  <c r="H14" i="22"/>
  <c r="J14" i="22" s="1"/>
  <c r="G14" i="22"/>
  <c r="N7" i="22"/>
  <c r="R7" i="22" s="1"/>
  <c r="U23" i="22"/>
  <c r="V23" i="22" s="1"/>
  <c r="W23" i="22" s="1"/>
  <c r="T23" i="22"/>
  <c r="Z23" i="22" l="1"/>
  <c r="AA23" i="22" s="1"/>
  <c r="V29" i="22"/>
  <c r="Z22" i="22"/>
  <c r="AA22" i="22" s="1"/>
  <c r="AA32" i="22" s="1"/>
  <c r="M26" i="22"/>
  <c r="Q6" i="22"/>
  <c r="S6" i="22"/>
  <c r="AA31" i="22"/>
  <c r="H15" i="22"/>
  <c r="J15" i="22" s="1"/>
  <c r="G15" i="22"/>
  <c r="F16" i="22"/>
  <c r="I15" i="22"/>
  <c r="Y25" i="22"/>
  <c r="O25" i="22"/>
  <c r="Y6" i="22"/>
  <c r="O6" i="22"/>
  <c r="T29" i="22"/>
  <c r="Q25" i="22"/>
  <c r="W31" i="22"/>
  <c r="W30" i="22"/>
  <c r="N31" i="22"/>
  <c r="N30" i="22"/>
  <c r="T24" i="22"/>
  <c r="U24" i="22"/>
  <c r="V24" i="22" s="1"/>
  <c r="W24" i="22" s="1"/>
  <c r="S24" i="22"/>
  <c r="Q7" i="22"/>
  <c r="S7" i="22" s="1"/>
  <c r="Z8" i="22"/>
  <c r="AA8" i="22" s="1"/>
  <c r="U25" i="22" l="1"/>
  <c r="V25" i="22" s="1"/>
  <c r="W25" i="22" s="1"/>
  <c r="T25" i="22"/>
  <c r="Z25" i="22" s="1"/>
  <c r="AA25" i="22" s="1"/>
  <c r="F17" i="22"/>
  <c r="H16" i="22"/>
  <c r="G16" i="22"/>
  <c r="I16" i="22"/>
  <c r="S25" i="22"/>
  <c r="T7" i="22"/>
  <c r="U7" i="22"/>
  <c r="V7" i="22" s="1"/>
  <c r="W7" i="22" s="1"/>
  <c r="U6" i="22"/>
  <c r="V6" i="22" s="1"/>
  <c r="W6" i="22" s="1"/>
  <c r="T6" i="22"/>
  <c r="Z24" i="22"/>
  <c r="AA24" i="22" s="1"/>
  <c r="Y26" i="22"/>
  <c r="O26" i="22"/>
  <c r="N26" i="22"/>
  <c r="R26" i="22" s="1"/>
  <c r="Z6" i="22" l="1"/>
  <c r="AA6" i="22" s="1"/>
  <c r="J16" i="22"/>
  <c r="F18" i="22"/>
  <c r="I17" i="22"/>
  <c r="G17" i="22"/>
  <c r="H17" i="22"/>
  <c r="J17" i="22" s="1"/>
  <c r="Q26" i="22"/>
  <c r="S26" i="22" s="1"/>
  <c r="Z7" i="22"/>
  <c r="AA7" i="22" s="1"/>
  <c r="I18" i="22" l="1"/>
  <c r="G18" i="22"/>
  <c r="H18" i="22"/>
  <c r="J18" i="22" s="1"/>
  <c r="F19" i="22"/>
  <c r="T26" i="22"/>
  <c r="U26" i="22"/>
  <c r="V26" i="22" s="1"/>
  <c r="W26" i="22" s="1"/>
  <c r="Z26" i="22" l="1"/>
  <c r="AA26" i="22" s="1"/>
  <c r="F20" i="22"/>
  <c r="I19" i="22"/>
  <c r="H19" i="22"/>
  <c r="J19" i="22" s="1"/>
  <c r="G19" i="22"/>
  <c r="F21" i="22" l="1"/>
  <c r="I20" i="22"/>
  <c r="G20" i="22"/>
  <c r="H20" i="22"/>
  <c r="J20" i="22" s="1"/>
  <c r="F22" i="22" l="1"/>
  <c r="I21" i="22"/>
  <c r="G21" i="22"/>
  <c r="H21" i="22"/>
  <c r="J21" i="22" s="1"/>
  <c r="G22" i="22" l="1"/>
  <c r="H22" i="22"/>
  <c r="F23" i="22"/>
  <c r="I22" i="22"/>
  <c r="J22" i="22" l="1"/>
  <c r="H23" i="22"/>
  <c r="G23" i="22"/>
  <c r="I23" i="22"/>
  <c r="F24" i="22"/>
  <c r="J23" i="22" l="1"/>
  <c r="I24" i="22"/>
  <c r="H24" i="22"/>
  <c r="G24" i="22"/>
  <c r="F25" i="22"/>
  <c r="I25" i="22" l="1"/>
  <c r="H25" i="22"/>
  <c r="J25" i="22" s="1"/>
  <c r="F26" i="22"/>
  <c r="G25" i="22"/>
  <c r="J24" i="22"/>
  <c r="F27" i="22" l="1"/>
  <c r="I26" i="22"/>
  <c r="G26" i="22"/>
  <c r="H26" i="22"/>
  <c r="J26" i="22" s="1"/>
  <c r="I27" i="22" l="1"/>
  <c r="G27" i="22"/>
  <c r="H27" i="22"/>
  <c r="J27" i="22" l="1"/>
  <c r="C6" i="21" l="1"/>
  <c r="L9" i="21"/>
  <c r="L10" i="21" s="1"/>
  <c r="O9" i="21"/>
  <c r="E10" i="21"/>
  <c r="H10" i="21"/>
  <c r="I10" i="21"/>
  <c r="I19" i="21" s="1"/>
  <c r="H11" i="21"/>
  <c r="G12" i="21"/>
  <c r="W12" i="21"/>
  <c r="G13" i="21"/>
  <c r="H13" i="21"/>
  <c r="I13" i="21"/>
  <c r="W13" i="21"/>
  <c r="X13" i="21"/>
  <c r="G14" i="21"/>
  <c r="H14" i="21"/>
  <c r="I14" i="21"/>
  <c r="W14" i="21"/>
  <c r="G16" i="21"/>
  <c r="E18" i="21"/>
  <c r="F18" i="21"/>
  <c r="G18" i="21"/>
  <c r="H18" i="21"/>
  <c r="I18" i="21"/>
  <c r="E19" i="21"/>
  <c r="F19" i="21"/>
  <c r="G19" i="21"/>
  <c r="H19" i="21"/>
  <c r="I11" i="21" l="1"/>
  <c r="M9" i="21"/>
  <c r="N9" i="21" s="1"/>
  <c r="N4" i="20" l="1"/>
  <c r="I7" i="20" s="1"/>
  <c r="J7" i="20" s="1"/>
  <c r="D7" i="20"/>
  <c r="K7" i="20"/>
  <c r="I8" i="20"/>
  <c r="D8" i="20" s="1"/>
  <c r="K8" i="20" s="1"/>
  <c r="J8" i="20"/>
  <c r="I9" i="20"/>
  <c r="D9" i="20" s="1"/>
  <c r="K9" i="20" s="1"/>
  <c r="J9" i="20"/>
  <c r="I10" i="20"/>
  <c r="D10" i="20" s="1"/>
  <c r="K10" i="20" s="1"/>
  <c r="J10" i="20"/>
  <c r="N21" i="20"/>
  <c r="C22" i="20"/>
  <c r="D25" i="20"/>
  <c r="M28" i="20" s="1"/>
  <c r="I25" i="20"/>
  <c r="J25" i="20"/>
  <c r="K25" i="20"/>
  <c r="D26" i="20"/>
  <c r="K26" i="20" s="1"/>
  <c r="I26" i="20"/>
  <c r="J26" i="20"/>
  <c r="I27" i="20"/>
  <c r="D27" i="20" s="1"/>
  <c r="K27" i="20" s="1"/>
  <c r="J27" i="20"/>
  <c r="I28" i="20"/>
  <c r="J28" i="20" s="1"/>
  <c r="K28" i="20"/>
  <c r="P28" i="20"/>
  <c r="D30" i="20"/>
  <c r="D32" i="20"/>
  <c r="D6" i="19"/>
  <c r="G10" i="19"/>
  <c r="F11" i="19"/>
  <c r="G34" i="19"/>
  <c r="G6" i="18"/>
  <c r="H6" i="18"/>
  <c r="F7" i="18"/>
  <c r="F8" i="18" s="1"/>
  <c r="G7" i="18"/>
  <c r="H7" i="18"/>
  <c r="J7" i="18" s="1"/>
  <c r="I7" i="18"/>
  <c r="D13" i="18"/>
  <c r="I6" i="18" s="1"/>
  <c r="J6" i="18" s="1"/>
  <c r="D18" i="18"/>
  <c r="D22" i="18"/>
  <c r="F31" i="18"/>
  <c r="F30" i="18" s="1"/>
  <c r="G31" i="18"/>
  <c r="H31" i="18"/>
  <c r="F35" i="18"/>
  <c r="H35" i="18" s="1"/>
  <c r="D12" i="19" s="1"/>
  <c r="R35" i="18"/>
  <c r="H10" i="19" l="1"/>
  <c r="D10" i="19"/>
  <c r="D11" i="19" s="1"/>
  <c r="G11" i="19"/>
  <c r="F12" i="19"/>
  <c r="L35" i="18"/>
  <c r="F9" i="18"/>
  <c r="G8" i="18"/>
  <c r="H8" i="18"/>
  <c r="I8" i="18"/>
  <c r="I30" i="18"/>
  <c r="G30" i="18"/>
  <c r="H30" i="18"/>
  <c r="G35" i="18"/>
  <c r="F32" i="18"/>
  <c r="L31" i="18"/>
  <c r="I35" i="18"/>
  <c r="F34" i="18"/>
  <c r="F36" i="18"/>
  <c r="I31" i="18"/>
  <c r="M31" i="18" s="1"/>
  <c r="M35" i="18" l="1"/>
  <c r="D13" i="19"/>
  <c r="F13" i="19"/>
  <c r="G12" i="19"/>
  <c r="H11" i="19"/>
  <c r="N35" i="18"/>
  <c r="O35" i="18" s="1"/>
  <c r="G36" i="18"/>
  <c r="H36" i="18"/>
  <c r="I36" i="18"/>
  <c r="H34" i="18"/>
  <c r="G34" i="18"/>
  <c r="I34" i="18"/>
  <c r="J31" i="18"/>
  <c r="J8" i="18"/>
  <c r="G32" i="18"/>
  <c r="H32" i="18"/>
  <c r="I32" i="18"/>
  <c r="H9" i="18"/>
  <c r="I9" i="18"/>
  <c r="F10" i="18"/>
  <c r="G9" i="18"/>
  <c r="J30" i="18"/>
  <c r="J35" i="18"/>
  <c r="I12" i="19" l="1"/>
  <c r="H34" i="19"/>
  <c r="I10" i="19"/>
  <c r="I11" i="19"/>
  <c r="H12" i="19"/>
  <c r="G13" i="19"/>
  <c r="I13" i="19" s="1"/>
  <c r="F14" i="19"/>
  <c r="J34" i="18"/>
  <c r="F11" i="18"/>
  <c r="H10" i="18"/>
  <c r="I10" i="18"/>
  <c r="G10" i="18"/>
  <c r="J32" i="18"/>
  <c r="J36" i="18"/>
  <c r="J9" i="18"/>
  <c r="F15" i="19" l="1"/>
  <c r="H14" i="19"/>
  <c r="G14" i="19"/>
  <c r="I14" i="19" s="1"/>
  <c r="H13" i="19"/>
  <c r="J10" i="18"/>
  <c r="G11" i="18"/>
  <c r="H11" i="18"/>
  <c r="J11" i="18" s="1"/>
  <c r="I11" i="18"/>
  <c r="F12" i="18"/>
  <c r="G15" i="19" l="1"/>
  <c r="I15" i="19" s="1"/>
  <c r="F16" i="19"/>
  <c r="I12" i="18"/>
  <c r="F13" i="18"/>
  <c r="G12" i="18"/>
  <c r="H12" i="18"/>
  <c r="J12" i="18" s="1"/>
  <c r="F17" i="19" l="1"/>
  <c r="G16" i="19"/>
  <c r="I16" i="19" s="1"/>
  <c r="H15" i="19"/>
  <c r="F14" i="18"/>
  <c r="H13" i="18"/>
  <c r="G13" i="18"/>
  <c r="I13" i="18"/>
  <c r="H16" i="19" l="1"/>
  <c r="G17" i="19"/>
  <c r="I17" i="19" s="1"/>
  <c r="H17" i="19"/>
  <c r="F18" i="19"/>
  <c r="J13" i="18"/>
  <c r="G14" i="18"/>
  <c r="H14" i="18"/>
  <c r="J14" i="18" s="1"/>
  <c r="F15" i="18"/>
  <c r="I14" i="18"/>
  <c r="F19" i="19" l="1"/>
  <c r="G18" i="19"/>
  <c r="I18" i="19" s="1"/>
  <c r="H18" i="19"/>
  <c r="I15" i="18"/>
  <c r="G15" i="18"/>
  <c r="F16" i="18"/>
  <c r="H15" i="18"/>
  <c r="J15" i="18" s="1"/>
  <c r="G19" i="19" l="1"/>
  <c r="I19" i="19" s="1"/>
  <c r="H19" i="19"/>
  <c r="F20" i="19"/>
  <c r="G16" i="18"/>
  <c r="H16" i="18"/>
  <c r="I16" i="18"/>
  <c r="F17" i="18"/>
  <c r="F21" i="19" l="1"/>
  <c r="G20" i="19"/>
  <c r="I20" i="19" s="1"/>
  <c r="G17" i="18"/>
  <c r="F18" i="18"/>
  <c r="H17" i="18"/>
  <c r="I17" i="18"/>
  <c r="J16" i="18"/>
  <c r="H20" i="19" l="1"/>
  <c r="G21" i="19"/>
  <c r="I21" i="19" s="1"/>
  <c r="H21" i="19"/>
  <c r="F22" i="19"/>
  <c r="J17" i="18"/>
  <c r="I18" i="18"/>
  <c r="G18" i="18"/>
  <c r="F19" i="18"/>
  <c r="H18" i="18"/>
  <c r="J18" i="18" s="1"/>
  <c r="F23" i="19" l="1"/>
  <c r="G22" i="19"/>
  <c r="I22" i="19" s="1"/>
  <c r="H22" i="19"/>
  <c r="G19" i="18"/>
  <c r="H19" i="18"/>
  <c r="I19" i="18"/>
  <c r="F20" i="18"/>
  <c r="F24" i="19" l="1"/>
  <c r="G23" i="19"/>
  <c r="I23" i="19" s="1"/>
  <c r="G20" i="18"/>
  <c r="H20" i="18"/>
  <c r="I20" i="18"/>
  <c r="F21" i="18"/>
  <c r="J19" i="18"/>
  <c r="F25" i="19" l="1"/>
  <c r="G24" i="19"/>
  <c r="I24" i="19" s="1"/>
  <c r="H24" i="19"/>
  <c r="H23" i="19"/>
  <c r="J20" i="18"/>
  <c r="H21" i="18"/>
  <c r="F22" i="18"/>
  <c r="G21" i="18"/>
  <c r="I21" i="18"/>
  <c r="F26" i="19" l="1"/>
  <c r="G25" i="19"/>
  <c r="I25" i="19" s="1"/>
  <c r="I22" i="18"/>
  <c r="G22" i="18"/>
  <c r="H22" i="18"/>
  <c r="J22" i="18" s="1"/>
  <c r="F23" i="18"/>
  <c r="J21" i="18"/>
  <c r="F27" i="19" l="1"/>
  <c r="G26" i="19"/>
  <c r="I26" i="19" s="1"/>
  <c r="H25" i="19"/>
  <c r="G23" i="18"/>
  <c r="H23" i="18"/>
  <c r="I23" i="18"/>
  <c r="F24" i="18"/>
  <c r="H26" i="19" l="1"/>
  <c r="G27" i="19"/>
  <c r="I27" i="19" s="1"/>
  <c r="H27" i="19"/>
  <c r="F25" i="18"/>
  <c r="H24" i="18"/>
  <c r="G24" i="18"/>
  <c r="I24" i="18"/>
  <c r="J23" i="18"/>
  <c r="J24" i="18" l="1"/>
  <c r="F26" i="18"/>
  <c r="H25" i="18"/>
  <c r="G25" i="18"/>
  <c r="I25" i="18"/>
  <c r="H26" i="18" l="1"/>
  <c r="I26" i="18"/>
  <c r="F27" i="18"/>
  <c r="G26" i="18"/>
  <c r="J25" i="18"/>
  <c r="I27" i="18" l="1"/>
  <c r="H27" i="18"/>
  <c r="J27" i="18" s="1"/>
  <c r="G27" i="18"/>
  <c r="J26" i="18"/>
  <c r="U20" i="17"/>
  <c r="C29" i="17"/>
  <c r="D28" i="17"/>
  <c r="C17" i="17"/>
  <c r="C14" i="17"/>
  <c r="C15" i="17" s="1"/>
  <c r="C13" i="17"/>
  <c r="C9" i="17"/>
  <c r="C10" i="17" s="1"/>
  <c r="C8" i="17"/>
  <c r="C34" i="17" s="1"/>
  <c r="C5" i="17"/>
  <c r="F41" i="16"/>
  <c r="G41" i="16" s="1"/>
  <c r="D22" i="16"/>
  <c r="D18" i="16"/>
  <c r="D13" i="16"/>
  <c r="F7" i="16"/>
  <c r="G7" i="16" s="1"/>
  <c r="H6" i="16"/>
  <c r="G6" i="16"/>
  <c r="F8" i="16" l="1"/>
  <c r="F37" i="16"/>
  <c r="G37" i="16" s="1"/>
  <c r="C18" i="17"/>
  <c r="I6" i="16"/>
  <c r="J6" i="16" s="1"/>
  <c r="H7" i="16"/>
  <c r="I7" i="16"/>
  <c r="E28" i="17"/>
  <c r="D29" i="17"/>
  <c r="D34" i="17" s="1"/>
  <c r="F40" i="16"/>
  <c r="H40" i="16" s="1"/>
  <c r="H41" i="16"/>
  <c r="I41" i="16"/>
  <c r="J41" i="16" s="1"/>
  <c r="F42" i="16"/>
  <c r="I42" i="16" s="1"/>
  <c r="F38" i="16"/>
  <c r="I37" i="16"/>
  <c r="F36" i="16"/>
  <c r="G8" i="16"/>
  <c r="H8" i="16"/>
  <c r="D28" i="4"/>
  <c r="E28" i="4" s="1"/>
  <c r="F28" i="4" s="1"/>
  <c r="G28" i="4" s="1"/>
  <c r="H28" i="4" s="1"/>
  <c r="I28" i="4" s="1"/>
  <c r="J28" i="4" s="1"/>
  <c r="K28" i="4" l="1"/>
  <c r="K29" i="4" s="1"/>
  <c r="D29" i="4"/>
  <c r="I8" i="16"/>
  <c r="J8" i="16" s="1"/>
  <c r="F9" i="16"/>
  <c r="E29" i="4"/>
  <c r="G29" i="4"/>
  <c r="H29" i="4"/>
  <c r="J7" i="16"/>
  <c r="F29" i="4"/>
  <c r="I29" i="4"/>
  <c r="J29" i="4"/>
  <c r="H37" i="16"/>
  <c r="J37" i="16" s="1"/>
  <c r="F28" i="17"/>
  <c r="E29" i="17"/>
  <c r="E34" i="17" s="1"/>
  <c r="I40" i="16"/>
  <c r="J40" i="16" s="1"/>
  <c r="G40" i="16"/>
  <c r="G42" i="16"/>
  <c r="H42" i="16"/>
  <c r="J42" i="16" s="1"/>
  <c r="I38" i="16"/>
  <c r="H38" i="16"/>
  <c r="G38" i="16"/>
  <c r="I36" i="16"/>
  <c r="H36" i="16"/>
  <c r="J36" i="16" s="1"/>
  <c r="G36" i="16"/>
  <c r="J38" i="16" l="1"/>
  <c r="H9" i="16"/>
  <c r="I9" i="16"/>
  <c r="J9" i="16" s="1"/>
  <c r="G9" i="16"/>
  <c r="F10" i="16"/>
  <c r="F29" i="17"/>
  <c r="F34" i="17" s="1"/>
  <c r="G28" i="17"/>
  <c r="G10" i="16" l="1"/>
  <c r="H10" i="16"/>
  <c r="F11" i="16"/>
  <c r="I10" i="16"/>
  <c r="G29" i="17"/>
  <c r="G34" i="17" s="1"/>
  <c r="H28" i="17"/>
  <c r="D15" i="12"/>
  <c r="D10" i="12"/>
  <c r="D20" i="12" s="1"/>
  <c r="D19" i="13"/>
  <c r="P18" i="13" s="1"/>
  <c r="G18" i="13" s="1"/>
  <c r="H18" i="13" s="1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F24" i="13"/>
  <c r="F25" i="13" s="1"/>
  <c r="M23" i="13"/>
  <c r="M24" i="13" s="1"/>
  <c r="G23" i="13"/>
  <c r="D20" i="13"/>
  <c r="D16" i="13"/>
  <c r="D11" i="13"/>
  <c r="D9" i="13"/>
  <c r="H23" i="13" s="1"/>
  <c r="D6" i="13"/>
  <c r="F14" i="13" s="1"/>
  <c r="F25" i="12"/>
  <c r="L24" i="12"/>
  <c r="F24" i="12"/>
  <c r="L23" i="12"/>
  <c r="G23" i="12"/>
  <c r="M23" i="12" s="1"/>
  <c r="D16" i="12"/>
  <c r="D9" i="12"/>
  <c r="H23" i="12" s="1"/>
  <c r="D6" i="12"/>
  <c r="K23" i="13" l="1"/>
  <c r="N23" i="13" s="1"/>
  <c r="I11" i="16"/>
  <c r="G11" i="16"/>
  <c r="H11" i="16"/>
  <c r="J11" i="16" s="1"/>
  <c r="F12" i="16"/>
  <c r="J10" i="16"/>
  <c r="T23" i="13"/>
  <c r="G17" i="13"/>
  <c r="H17" i="13" s="1"/>
  <c r="H29" i="17"/>
  <c r="H34" i="17" s="1"/>
  <c r="I28" i="17"/>
  <c r="Q23" i="13"/>
  <c r="H24" i="13"/>
  <c r="Q24" i="13"/>
  <c r="D11" i="12"/>
  <c r="F11" i="12" s="1"/>
  <c r="F14" i="12"/>
  <c r="H14" i="12" s="1"/>
  <c r="I17" i="13"/>
  <c r="J17" i="13" s="1"/>
  <c r="K17" i="13" s="1"/>
  <c r="F11" i="13"/>
  <c r="I23" i="13"/>
  <c r="I24" i="13"/>
  <c r="T24" i="13"/>
  <c r="I14" i="13"/>
  <c r="H14" i="13"/>
  <c r="G14" i="13"/>
  <c r="I25" i="13"/>
  <c r="G25" i="13"/>
  <c r="H25" i="13"/>
  <c r="F26" i="13"/>
  <c r="J23" i="13"/>
  <c r="L18" i="13"/>
  <c r="I18" i="13"/>
  <c r="J18" i="13" s="1"/>
  <c r="K18" i="13" s="1"/>
  <c r="O23" i="13"/>
  <c r="P23" i="13" s="1"/>
  <c r="M25" i="13"/>
  <c r="K24" i="13"/>
  <c r="N24" i="13" s="1"/>
  <c r="T25" i="13"/>
  <c r="G24" i="13"/>
  <c r="O23" i="12"/>
  <c r="N23" i="12"/>
  <c r="I25" i="12"/>
  <c r="H25" i="12"/>
  <c r="F26" i="12"/>
  <c r="G25" i="12"/>
  <c r="M25" i="12" s="1"/>
  <c r="I24" i="12"/>
  <c r="H24" i="12"/>
  <c r="L25" i="12"/>
  <c r="G24" i="12"/>
  <c r="M24" i="12" s="1"/>
  <c r="N24" i="12" s="1"/>
  <c r="P18" i="8"/>
  <c r="G18" i="8" s="1"/>
  <c r="G17" i="8"/>
  <c r="I17" i="8" s="1"/>
  <c r="M23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F24" i="8"/>
  <c r="F25" i="8" s="1"/>
  <c r="G23" i="8"/>
  <c r="D20" i="8"/>
  <c r="D16" i="8"/>
  <c r="D11" i="8"/>
  <c r="D9" i="8"/>
  <c r="H23" i="8" s="1"/>
  <c r="D6" i="8"/>
  <c r="L23" i="7"/>
  <c r="L17" i="8" l="1"/>
  <c r="H12" i="16"/>
  <c r="G12" i="16"/>
  <c r="F13" i="16"/>
  <c r="I12" i="16"/>
  <c r="L18" i="8"/>
  <c r="L17" i="13"/>
  <c r="I23" i="12"/>
  <c r="J23" i="12" s="1"/>
  <c r="I29" i="17"/>
  <c r="J28" i="17"/>
  <c r="I34" i="17"/>
  <c r="J24" i="13"/>
  <c r="G14" i="12"/>
  <c r="J25" i="12"/>
  <c r="I14" i="12"/>
  <c r="J14" i="12" s="1"/>
  <c r="J24" i="12"/>
  <c r="J14" i="13"/>
  <c r="M26" i="13"/>
  <c r="K25" i="13"/>
  <c r="N25" i="13" s="1"/>
  <c r="O24" i="13"/>
  <c r="P24" i="13" s="1"/>
  <c r="J25" i="13"/>
  <c r="Q25" i="13"/>
  <c r="H26" i="13"/>
  <c r="I26" i="13"/>
  <c r="F27" i="13"/>
  <c r="G26" i="13"/>
  <c r="R23" i="13"/>
  <c r="S23" i="13" s="1"/>
  <c r="I11" i="13"/>
  <c r="H11" i="13"/>
  <c r="G11" i="13"/>
  <c r="O25" i="12"/>
  <c r="N25" i="12"/>
  <c r="I11" i="12"/>
  <c r="H11" i="12"/>
  <c r="G11" i="12"/>
  <c r="O24" i="12"/>
  <c r="H26" i="12"/>
  <c r="F27" i="12"/>
  <c r="G26" i="12"/>
  <c r="M26" i="12" s="1"/>
  <c r="I26" i="12"/>
  <c r="L26" i="12"/>
  <c r="I18" i="8"/>
  <c r="H18" i="8"/>
  <c r="J18" i="8" s="1"/>
  <c r="H17" i="8"/>
  <c r="T23" i="8"/>
  <c r="F14" i="8"/>
  <c r="H14" i="8" s="1"/>
  <c r="K23" i="8"/>
  <c r="N23" i="8" s="1"/>
  <c r="F26" i="8"/>
  <c r="F27" i="8" s="1"/>
  <c r="G27" i="8" s="1"/>
  <c r="G25" i="8"/>
  <c r="G24" i="8"/>
  <c r="M24" i="8"/>
  <c r="Q24" i="8" s="1"/>
  <c r="I24" i="8"/>
  <c r="I23" i="8"/>
  <c r="J23" i="8" s="1"/>
  <c r="H25" i="8"/>
  <c r="F11" i="8"/>
  <c r="I11" i="8" s="1"/>
  <c r="I25" i="8"/>
  <c r="Q23" i="8"/>
  <c r="H24" i="8"/>
  <c r="D9" i="7"/>
  <c r="D6" i="7"/>
  <c r="F24" i="7"/>
  <c r="L24" i="7" s="1"/>
  <c r="G23" i="7"/>
  <c r="M23" i="7" s="1"/>
  <c r="D16" i="7"/>
  <c r="D11" i="7"/>
  <c r="O23" i="7" s="1"/>
  <c r="J11" i="13" l="1"/>
  <c r="J12" i="16"/>
  <c r="H13" i="16"/>
  <c r="F14" i="16"/>
  <c r="G13" i="16"/>
  <c r="I13" i="16"/>
  <c r="J17" i="8"/>
  <c r="K17" i="8" s="1"/>
  <c r="G24" i="7"/>
  <c r="M24" i="7" s="1"/>
  <c r="N24" i="7" s="1"/>
  <c r="F25" i="7"/>
  <c r="O25" i="13"/>
  <c r="J29" i="17"/>
  <c r="J34" i="17" s="1"/>
  <c r="K28" i="17"/>
  <c r="F14" i="7"/>
  <c r="N23" i="7"/>
  <c r="J11" i="12"/>
  <c r="J26" i="12"/>
  <c r="P25" i="13"/>
  <c r="R25" i="13"/>
  <c r="S25" i="13" s="1"/>
  <c r="M27" i="13"/>
  <c r="K26" i="13"/>
  <c r="N26" i="13" s="1"/>
  <c r="T26" i="13"/>
  <c r="Q26" i="13"/>
  <c r="I27" i="13"/>
  <c r="G27" i="13"/>
  <c r="H27" i="13"/>
  <c r="F28" i="13"/>
  <c r="R24" i="13"/>
  <c r="S24" i="13" s="1"/>
  <c r="J26" i="13"/>
  <c r="O26" i="12"/>
  <c r="N26" i="12"/>
  <c r="F28" i="12"/>
  <c r="G27" i="12"/>
  <c r="M27" i="12" s="1"/>
  <c r="L27" i="12"/>
  <c r="I27" i="12"/>
  <c r="H27" i="12"/>
  <c r="K18" i="8"/>
  <c r="T24" i="8"/>
  <c r="I14" i="8"/>
  <c r="J14" i="8" s="1"/>
  <c r="O23" i="8"/>
  <c r="P23" i="8" s="1"/>
  <c r="G14" i="8"/>
  <c r="M25" i="8"/>
  <c r="T25" i="8" s="1"/>
  <c r="J24" i="8"/>
  <c r="K24" i="8"/>
  <c r="N24" i="8" s="1"/>
  <c r="H26" i="8"/>
  <c r="H27" i="8"/>
  <c r="G26" i="8"/>
  <c r="I27" i="8"/>
  <c r="F28" i="8"/>
  <c r="F29" i="8" s="1"/>
  <c r="I26" i="8"/>
  <c r="H11" i="8"/>
  <c r="J11" i="8" s="1"/>
  <c r="G11" i="8"/>
  <c r="J25" i="8"/>
  <c r="H24" i="7"/>
  <c r="F11" i="7"/>
  <c r="H11" i="7" s="1"/>
  <c r="D20" i="7"/>
  <c r="H23" i="7"/>
  <c r="F15" i="16" l="1"/>
  <c r="I14" i="16"/>
  <c r="H14" i="16"/>
  <c r="G14" i="16"/>
  <c r="J13" i="16"/>
  <c r="O24" i="7"/>
  <c r="L25" i="7"/>
  <c r="F26" i="7"/>
  <c r="I26" i="7" s="1"/>
  <c r="O26" i="13"/>
  <c r="G25" i="7"/>
  <c r="M25" i="7" s="1"/>
  <c r="H25" i="7"/>
  <c r="K29" i="17"/>
  <c r="K34" i="17" s="1"/>
  <c r="J27" i="13"/>
  <c r="R26" i="13"/>
  <c r="S26" i="13" s="1"/>
  <c r="P26" i="13"/>
  <c r="H28" i="13"/>
  <c r="G28" i="13"/>
  <c r="I28" i="13"/>
  <c r="F29" i="13"/>
  <c r="M28" i="13"/>
  <c r="T27" i="13"/>
  <c r="K27" i="13"/>
  <c r="N27" i="13" s="1"/>
  <c r="Q27" i="13"/>
  <c r="O27" i="12"/>
  <c r="N27" i="12"/>
  <c r="J27" i="12"/>
  <c r="F29" i="12"/>
  <c r="L28" i="12"/>
  <c r="I28" i="12"/>
  <c r="H28" i="12"/>
  <c r="G28" i="12"/>
  <c r="M28" i="12" s="1"/>
  <c r="O24" i="8"/>
  <c r="R24" i="8" s="1"/>
  <c r="S24" i="8" s="1"/>
  <c r="R23" i="8"/>
  <c r="S23" i="8" s="1"/>
  <c r="G28" i="8"/>
  <c r="J26" i="8"/>
  <c r="M26" i="8"/>
  <c r="T26" i="8" s="1"/>
  <c r="Q25" i="8"/>
  <c r="K25" i="8"/>
  <c r="N25" i="8" s="1"/>
  <c r="J27" i="8"/>
  <c r="H28" i="8"/>
  <c r="I28" i="8"/>
  <c r="I29" i="8"/>
  <c r="H29" i="8"/>
  <c r="F30" i="8"/>
  <c r="G29" i="8"/>
  <c r="I11" i="7"/>
  <c r="J11" i="7" s="1"/>
  <c r="G11" i="7"/>
  <c r="I24" i="7"/>
  <c r="J24" i="7" s="1"/>
  <c r="I25" i="7"/>
  <c r="I23" i="7"/>
  <c r="J23" i="7" s="1"/>
  <c r="F35" i="1"/>
  <c r="J28" i="12" l="1"/>
  <c r="J14" i="16"/>
  <c r="O25" i="7"/>
  <c r="F16" i="16"/>
  <c r="H15" i="16"/>
  <c r="J15" i="16" s="1"/>
  <c r="I15" i="16"/>
  <c r="G15" i="16"/>
  <c r="O27" i="13"/>
  <c r="P27" i="13" s="1"/>
  <c r="L26" i="7"/>
  <c r="G26" i="7"/>
  <c r="M26" i="7" s="1"/>
  <c r="F27" i="7"/>
  <c r="H26" i="7"/>
  <c r="J26" i="7" s="1"/>
  <c r="J25" i="7"/>
  <c r="N25" i="7"/>
  <c r="C21" i="17"/>
  <c r="M29" i="13"/>
  <c r="K28" i="13"/>
  <c r="N28" i="13" s="1"/>
  <c r="Q28" i="13"/>
  <c r="T28" i="13"/>
  <c r="F30" i="13"/>
  <c r="I29" i="13"/>
  <c r="H29" i="13"/>
  <c r="G29" i="13"/>
  <c r="J28" i="13"/>
  <c r="O28" i="12"/>
  <c r="N28" i="12"/>
  <c r="L29" i="12"/>
  <c r="H29" i="12"/>
  <c r="G29" i="12"/>
  <c r="M29" i="12" s="1"/>
  <c r="F30" i="12"/>
  <c r="I29" i="12"/>
  <c r="P24" i="8"/>
  <c r="O25" i="8"/>
  <c r="R25" i="8" s="1"/>
  <c r="S25" i="8" s="1"/>
  <c r="J28" i="8"/>
  <c r="M27" i="8"/>
  <c r="T27" i="8" s="1"/>
  <c r="K26" i="8"/>
  <c r="N26" i="8" s="1"/>
  <c r="Q26" i="8"/>
  <c r="J29" i="8"/>
  <c r="I30" i="8"/>
  <c r="H30" i="8"/>
  <c r="G30" i="8"/>
  <c r="D10" i="3"/>
  <c r="F14" i="2"/>
  <c r="F36" i="1"/>
  <c r="F34" i="1"/>
  <c r="G35" i="1"/>
  <c r="H35" i="1"/>
  <c r="C23" i="17" s="1"/>
  <c r="C25" i="17" s="1"/>
  <c r="P25" i="8" l="1"/>
  <c r="R27" i="13"/>
  <c r="S27" i="13" s="1"/>
  <c r="H16" i="16"/>
  <c r="G16" i="16"/>
  <c r="I16" i="16"/>
  <c r="F17" i="16"/>
  <c r="O28" i="13"/>
  <c r="P28" i="13" s="1"/>
  <c r="M28" i="4"/>
  <c r="M29" i="4" s="1"/>
  <c r="L27" i="7"/>
  <c r="G27" i="7"/>
  <c r="M27" i="7" s="1"/>
  <c r="F28" i="7"/>
  <c r="I27" i="7"/>
  <c r="H27" i="7"/>
  <c r="O26" i="7"/>
  <c r="N26" i="7"/>
  <c r="C22" i="17"/>
  <c r="J31" i="17" s="1"/>
  <c r="M28" i="17"/>
  <c r="D12" i="3"/>
  <c r="J29" i="13"/>
  <c r="F31" i="13"/>
  <c r="I30" i="13"/>
  <c r="G30" i="13"/>
  <c r="H30" i="13"/>
  <c r="R28" i="13"/>
  <c r="S28" i="13" s="1"/>
  <c r="M30" i="13"/>
  <c r="K29" i="13"/>
  <c r="N29" i="13" s="1"/>
  <c r="Q29" i="13"/>
  <c r="T29" i="13"/>
  <c r="J29" i="12"/>
  <c r="L30" i="12"/>
  <c r="I30" i="12"/>
  <c r="G30" i="12"/>
  <c r="M30" i="12" s="1"/>
  <c r="H30" i="12"/>
  <c r="F31" i="12"/>
  <c r="N29" i="12"/>
  <c r="O29" i="12"/>
  <c r="O26" i="8"/>
  <c r="R26" i="8" s="1"/>
  <c r="S26" i="8" s="1"/>
  <c r="M28" i="8"/>
  <c r="T28" i="8" s="1"/>
  <c r="K27" i="8"/>
  <c r="N27" i="8" s="1"/>
  <c r="Q27" i="8"/>
  <c r="P26" i="8"/>
  <c r="H31" i="8"/>
  <c r="F32" i="8"/>
  <c r="G31" i="8"/>
  <c r="I31" i="8"/>
  <c r="J30" i="8"/>
  <c r="I14" i="7"/>
  <c r="H14" i="7"/>
  <c r="G14" i="7"/>
  <c r="H34" i="1"/>
  <c r="G34" i="1"/>
  <c r="H36" i="1"/>
  <c r="G36" i="1"/>
  <c r="C29" i="4"/>
  <c r="C15" i="4"/>
  <c r="C10" i="4"/>
  <c r="C5" i="4"/>
  <c r="F11" i="3"/>
  <c r="F12" i="3" s="1"/>
  <c r="G10" i="3"/>
  <c r="D11" i="3"/>
  <c r="D6" i="3"/>
  <c r="F24" i="2"/>
  <c r="G23" i="2"/>
  <c r="D19" i="2"/>
  <c r="D15" i="2"/>
  <c r="D16" i="2" s="1"/>
  <c r="G14" i="2"/>
  <c r="D14" i="2"/>
  <c r="D10" i="2"/>
  <c r="D11" i="2" s="1"/>
  <c r="D9" i="2"/>
  <c r="D6" i="2"/>
  <c r="D22" i="1"/>
  <c r="D18" i="1"/>
  <c r="D13" i="1"/>
  <c r="F7" i="1"/>
  <c r="H6" i="1"/>
  <c r="G6" i="1"/>
  <c r="G31" i="17" l="1"/>
  <c r="D31" i="17"/>
  <c r="C31" i="17"/>
  <c r="F31" i="17"/>
  <c r="E31" i="17"/>
  <c r="H17" i="16"/>
  <c r="F18" i="16"/>
  <c r="I17" i="16"/>
  <c r="G17" i="16"/>
  <c r="F31" i="1"/>
  <c r="K31" i="17"/>
  <c r="J16" i="16"/>
  <c r="N27" i="7"/>
  <c r="I31" i="17"/>
  <c r="H31" i="17"/>
  <c r="I31" i="4"/>
  <c r="D31" i="4"/>
  <c r="J27" i="7"/>
  <c r="D34" i="4"/>
  <c r="H34" i="4"/>
  <c r="J34" i="4"/>
  <c r="E34" i="4"/>
  <c r="F34" i="4"/>
  <c r="G34" i="4"/>
  <c r="I34" i="4"/>
  <c r="K34" i="4"/>
  <c r="M34" i="4"/>
  <c r="L28" i="7"/>
  <c r="H28" i="7"/>
  <c r="F29" i="7"/>
  <c r="G28" i="7"/>
  <c r="M28" i="7" s="1"/>
  <c r="I28" i="7"/>
  <c r="O27" i="7"/>
  <c r="J30" i="12"/>
  <c r="M29" i="17"/>
  <c r="M34" i="17" s="1"/>
  <c r="I36" i="1"/>
  <c r="J36" i="1" s="1"/>
  <c r="I34" i="1"/>
  <c r="J34" i="1" s="1"/>
  <c r="I35" i="1"/>
  <c r="H23" i="2"/>
  <c r="J30" i="13"/>
  <c r="M31" i="13"/>
  <c r="K30" i="13"/>
  <c r="N30" i="13" s="1"/>
  <c r="T30" i="13"/>
  <c r="Q30" i="13"/>
  <c r="O29" i="13"/>
  <c r="R29" i="13" s="1"/>
  <c r="S29" i="13" s="1"/>
  <c r="G31" i="13"/>
  <c r="F32" i="13"/>
  <c r="I31" i="13"/>
  <c r="H31" i="13"/>
  <c r="L31" i="12"/>
  <c r="I31" i="12"/>
  <c r="F32" i="12"/>
  <c r="H31" i="12"/>
  <c r="G31" i="12"/>
  <c r="M31" i="12" s="1"/>
  <c r="N30" i="12"/>
  <c r="O30" i="12"/>
  <c r="O27" i="8"/>
  <c r="R27" i="8" s="1"/>
  <c r="S27" i="8" s="1"/>
  <c r="P27" i="8"/>
  <c r="M29" i="8"/>
  <c r="T29" i="8" s="1"/>
  <c r="K28" i="8"/>
  <c r="N28" i="8" s="1"/>
  <c r="Q28" i="8"/>
  <c r="F33" i="8"/>
  <c r="G32" i="8"/>
  <c r="H32" i="8"/>
  <c r="I32" i="8"/>
  <c r="J31" i="8"/>
  <c r="J14" i="7"/>
  <c r="F11" i="2"/>
  <c r="G11" i="2" s="1"/>
  <c r="D20" i="2"/>
  <c r="I24" i="2" s="1"/>
  <c r="I7" i="1"/>
  <c r="I6" i="1"/>
  <c r="J6" i="1" s="1"/>
  <c r="F8" i="1"/>
  <c r="I8" i="1" s="1"/>
  <c r="F13" i="3"/>
  <c r="F14" i="3" s="1"/>
  <c r="G12" i="3"/>
  <c r="H7" i="1"/>
  <c r="H14" i="2"/>
  <c r="C25" i="4" s="1"/>
  <c r="G11" i="3"/>
  <c r="G7" i="1"/>
  <c r="C18" i="4"/>
  <c r="F31" i="4" s="1"/>
  <c r="H24" i="2"/>
  <c r="G24" i="2"/>
  <c r="F25" i="2"/>
  <c r="C34" i="4"/>
  <c r="G31" i="4" l="1"/>
  <c r="I18" i="16"/>
  <c r="H18" i="16"/>
  <c r="J18" i="16" s="1"/>
  <c r="F19" i="16"/>
  <c r="G18" i="16"/>
  <c r="J17" i="16"/>
  <c r="J31" i="4"/>
  <c r="L29" i="7"/>
  <c r="I29" i="7"/>
  <c r="G29" i="7"/>
  <c r="M29" i="7" s="1"/>
  <c r="H29" i="7"/>
  <c r="F30" i="7"/>
  <c r="M31" i="17"/>
  <c r="J28" i="7"/>
  <c r="E31" i="4"/>
  <c r="O28" i="7"/>
  <c r="N28" i="7"/>
  <c r="H31" i="4"/>
  <c r="K31" i="4"/>
  <c r="M31" i="4"/>
  <c r="F32" i="4"/>
  <c r="F33" i="4" s="1"/>
  <c r="C24" i="17"/>
  <c r="G32" i="4"/>
  <c r="G33" i="4" s="1"/>
  <c r="D32" i="4"/>
  <c r="D33" i="4" s="1"/>
  <c r="C31" i="4"/>
  <c r="G13" i="3"/>
  <c r="H8" i="1"/>
  <c r="J8" i="1" s="1"/>
  <c r="D13" i="3"/>
  <c r="J35" i="1"/>
  <c r="G31" i="1"/>
  <c r="F32" i="1"/>
  <c r="F30" i="1"/>
  <c r="I31" i="1"/>
  <c r="J31" i="12"/>
  <c r="J31" i="13"/>
  <c r="P29" i="13"/>
  <c r="H32" i="13"/>
  <c r="G32" i="13"/>
  <c r="F33" i="13"/>
  <c r="I32" i="13"/>
  <c r="O30" i="13"/>
  <c r="P30" i="13" s="1"/>
  <c r="R30" i="13"/>
  <c r="S30" i="13" s="1"/>
  <c r="M32" i="13"/>
  <c r="T31" i="13"/>
  <c r="K31" i="13"/>
  <c r="N31" i="13" s="1"/>
  <c r="Q31" i="13"/>
  <c r="I32" i="12"/>
  <c r="H32" i="12"/>
  <c r="F33" i="12"/>
  <c r="L32" i="12"/>
  <c r="G32" i="12"/>
  <c r="M32" i="12" s="1"/>
  <c r="O31" i="12"/>
  <c r="N31" i="12"/>
  <c r="O28" i="8"/>
  <c r="R28" i="8" s="1"/>
  <c r="S28" i="8" s="1"/>
  <c r="M30" i="8"/>
  <c r="K29" i="8"/>
  <c r="N29" i="8" s="1"/>
  <c r="Q29" i="8"/>
  <c r="J32" i="8"/>
  <c r="I33" i="8"/>
  <c r="F34" i="8"/>
  <c r="H33" i="8"/>
  <c r="G33" i="8"/>
  <c r="H12" i="3"/>
  <c r="H31" i="1"/>
  <c r="H11" i="2"/>
  <c r="I23" i="2"/>
  <c r="J23" i="2" s="1"/>
  <c r="J7" i="1"/>
  <c r="I14" i="2"/>
  <c r="J14" i="2" s="1"/>
  <c r="I11" i="2"/>
  <c r="F9" i="1"/>
  <c r="F10" i="1" s="1"/>
  <c r="G8" i="1"/>
  <c r="J24" i="2"/>
  <c r="G14" i="3"/>
  <c r="F15" i="3"/>
  <c r="H25" i="2"/>
  <c r="F26" i="2"/>
  <c r="G25" i="2"/>
  <c r="I25" i="2"/>
  <c r="G19" i="16" l="1"/>
  <c r="F20" i="16"/>
  <c r="I19" i="16"/>
  <c r="H19" i="16"/>
  <c r="J29" i="7"/>
  <c r="O29" i="7"/>
  <c r="T30" i="8"/>
  <c r="M31" i="8"/>
  <c r="T31" i="8" s="1"/>
  <c r="L30" i="7"/>
  <c r="I30" i="7"/>
  <c r="H30" i="7"/>
  <c r="G30" i="7"/>
  <c r="M30" i="7" s="1"/>
  <c r="F31" i="7"/>
  <c r="N29" i="7"/>
  <c r="F32" i="17"/>
  <c r="F33" i="17" s="1"/>
  <c r="I32" i="17"/>
  <c r="I33" i="17" s="1"/>
  <c r="C32" i="17"/>
  <c r="C33" i="17" s="1"/>
  <c r="H32" i="17"/>
  <c r="H33" i="17" s="1"/>
  <c r="D32" i="17"/>
  <c r="D33" i="17" s="1"/>
  <c r="J32" i="17"/>
  <c r="J33" i="17" s="1"/>
  <c r="G32" i="17"/>
  <c r="G33" i="17" s="1"/>
  <c r="E32" i="17"/>
  <c r="E33" i="17" s="1"/>
  <c r="K32" i="17"/>
  <c r="K33" i="17" s="1"/>
  <c r="J32" i="4"/>
  <c r="J33" i="4" s="1"/>
  <c r="E32" i="4"/>
  <c r="E33" i="4" s="1"/>
  <c r="K32" i="4"/>
  <c r="K33" i="4" s="1"/>
  <c r="I32" i="4"/>
  <c r="I33" i="4" s="1"/>
  <c r="H32" i="4"/>
  <c r="H33" i="4" s="1"/>
  <c r="M32" i="4"/>
  <c r="M33" i="4" s="1"/>
  <c r="M32" i="17"/>
  <c r="M33" i="17" s="1"/>
  <c r="I30" i="1"/>
  <c r="H30" i="1"/>
  <c r="G30" i="1"/>
  <c r="J31" i="1"/>
  <c r="G32" i="1"/>
  <c r="I32" i="1"/>
  <c r="H32" i="1"/>
  <c r="J32" i="12"/>
  <c r="I33" i="13"/>
  <c r="G33" i="13"/>
  <c r="H33" i="13"/>
  <c r="F34" i="13"/>
  <c r="M33" i="13"/>
  <c r="K32" i="13"/>
  <c r="N32" i="13" s="1"/>
  <c r="Q32" i="13"/>
  <c r="T32" i="13"/>
  <c r="J32" i="13"/>
  <c r="O31" i="13"/>
  <c r="R31" i="13" s="1"/>
  <c r="S31" i="13" s="1"/>
  <c r="O32" i="12"/>
  <c r="N32" i="12"/>
  <c r="I33" i="12"/>
  <c r="H33" i="12"/>
  <c r="F34" i="12"/>
  <c r="G33" i="12"/>
  <c r="M33" i="12" s="1"/>
  <c r="L33" i="12"/>
  <c r="P28" i="8"/>
  <c r="O29" i="8"/>
  <c r="R29" i="8" s="1"/>
  <c r="S29" i="8" s="1"/>
  <c r="K30" i="8"/>
  <c r="N30" i="8" s="1"/>
  <c r="Q30" i="8"/>
  <c r="J33" i="8"/>
  <c r="G34" i="8"/>
  <c r="I34" i="8"/>
  <c r="H34" i="8"/>
  <c r="F35" i="8"/>
  <c r="H13" i="3"/>
  <c r="H11" i="3"/>
  <c r="H10" i="3"/>
  <c r="G9" i="1"/>
  <c r="I9" i="1"/>
  <c r="H9" i="1"/>
  <c r="J9" i="1" s="1"/>
  <c r="J11" i="2"/>
  <c r="I13" i="3"/>
  <c r="I10" i="1"/>
  <c r="G10" i="1"/>
  <c r="F11" i="1"/>
  <c r="H10" i="1"/>
  <c r="G15" i="3"/>
  <c r="F16" i="3"/>
  <c r="F27" i="2"/>
  <c r="G26" i="2"/>
  <c r="I26" i="2"/>
  <c r="H26" i="2"/>
  <c r="H14" i="3"/>
  <c r="J25" i="2"/>
  <c r="J19" i="16" l="1"/>
  <c r="H20" i="16"/>
  <c r="G20" i="16"/>
  <c r="I20" i="16"/>
  <c r="F21" i="16"/>
  <c r="J32" i="1"/>
  <c r="L31" i="7"/>
  <c r="G31" i="7"/>
  <c r="M31" i="7" s="1"/>
  <c r="O31" i="7" s="1"/>
  <c r="F32" i="7"/>
  <c r="I31" i="7"/>
  <c r="H31" i="7"/>
  <c r="J31" i="7" s="1"/>
  <c r="J30" i="7"/>
  <c r="O30" i="7"/>
  <c r="N30" i="7"/>
  <c r="P29" i="8"/>
  <c r="O32" i="13"/>
  <c r="P32" i="13" s="1"/>
  <c r="J30" i="1"/>
  <c r="J33" i="13"/>
  <c r="M34" i="13"/>
  <c r="K33" i="13"/>
  <c r="N33" i="13" s="1"/>
  <c r="Q33" i="13"/>
  <c r="T33" i="13"/>
  <c r="H34" i="13"/>
  <c r="I34" i="13"/>
  <c r="F35" i="13"/>
  <c r="G34" i="13"/>
  <c r="P31" i="13"/>
  <c r="R32" i="13"/>
  <c r="S32" i="13" s="1"/>
  <c r="O33" i="12"/>
  <c r="N33" i="12"/>
  <c r="J33" i="12"/>
  <c r="H34" i="12"/>
  <c r="F35" i="12"/>
  <c r="G34" i="12"/>
  <c r="M34" i="12" s="1"/>
  <c r="L34" i="12"/>
  <c r="I34" i="12"/>
  <c r="J34" i="8"/>
  <c r="M32" i="8"/>
  <c r="T32" i="8" s="1"/>
  <c r="K31" i="8"/>
  <c r="N31" i="8" s="1"/>
  <c r="Q31" i="8"/>
  <c r="O30" i="8"/>
  <c r="P30" i="8" s="1"/>
  <c r="G35" i="8"/>
  <c r="I35" i="8"/>
  <c r="H35" i="8"/>
  <c r="F36" i="8"/>
  <c r="I12" i="3"/>
  <c r="I11" i="3"/>
  <c r="I10" i="3"/>
  <c r="I15" i="3"/>
  <c r="I14" i="3"/>
  <c r="C32" i="4"/>
  <c r="C33" i="4" s="1"/>
  <c r="J10" i="1"/>
  <c r="H15" i="3"/>
  <c r="I11" i="1"/>
  <c r="G11" i="1"/>
  <c r="F12" i="1"/>
  <c r="H11" i="1"/>
  <c r="I27" i="2"/>
  <c r="H27" i="2"/>
  <c r="G27" i="2"/>
  <c r="F28" i="2"/>
  <c r="J26" i="2"/>
  <c r="G16" i="3"/>
  <c r="I16" i="3" s="1"/>
  <c r="F17" i="3"/>
  <c r="I21" i="16" l="1"/>
  <c r="F22" i="16"/>
  <c r="H21" i="16"/>
  <c r="J21" i="16" s="1"/>
  <c r="G21" i="16"/>
  <c r="J20" i="16"/>
  <c r="L32" i="7"/>
  <c r="F33" i="7"/>
  <c r="I32" i="7"/>
  <c r="G32" i="7"/>
  <c r="M32" i="7" s="1"/>
  <c r="H32" i="7"/>
  <c r="H16" i="3"/>
  <c r="N31" i="7"/>
  <c r="I35" i="13"/>
  <c r="G35" i="13"/>
  <c r="H35" i="13"/>
  <c r="F36" i="13"/>
  <c r="T34" i="13"/>
  <c r="K34" i="13"/>
  <c r="N34" i="13" s="1"/>
  <c r="O34" i="13"/>
  <c r="M35" i="13"/>
  <c r="Q34" i="13"/>
  <c r="J34" i="13"/>
  <c r="O33" i="13"/>
  <c r="P33" i="13" s="1"/>
  <c r="J34" i="12"/>
  <c r="O34" i="12"/>
  <c r="N34" i="12"/>
  <c r="F36" i="12"/>
  <c r="G35" i="12"/>
  <c r="M35" i="12" s="1"/>
  <c r="L35" i="12"/>
  <c r="I35" i="12"/>
  <c r="H35" i="12"/>
  <c r="J35" i="8"/>
  <c r="R30" i="8"/>
  <c r="S30" i="8" s="1"/>
  <c r="O31" i="8"/>
  <c r="P31" i="8" s="1"/>
  <c r="M33" i="8"/>
  <c r="T33" i="8" s="1"/>
  <c r="K32" i="8"/>
  <c r="N32" i="8" s="1"/>
  <c r="Q32" i="8"/>
  <c r="I36" i="8"/>
  <c r="H36" i="8"/>
  <c r="F37" i="8"/>
  <c r="G36" i="8"/>
  <c r="J27" i="2"/>
  <c r="J11" i="1"/>
  <c r="I12" i="1"/>
  <c r="F13" i="1"/>
  <c r="G12" i="1"/>
  <c r="H12" i="1"/>
  <c r="I28" i="2"/>
  <c r="H28" i="2"/>
  <c r="G28" i="2"/>
  <c r="F29" i="2"/>
  <c r="G17" i="3"/>
  <c r="I17" i="3" s="1"/>
  <c r="F18" i="3"/>
  <c r="J32" i="7" l="1"/>
  <c r="I22" i="16"/>
  <c r="H22" i="16"/>
  <c r="J22" i="16" s="1"/>
  <c r="G22" i="16"/>
  <c r="F23" i="16"/>
  <c r="L33" i="7"/>
  <c r="F34" i="7"/>
  <c r="H33" i="7"/>
  <c r="J33" i="7" s="1"/>
  <c r="I33" i="7"/>
  <c r="G33" i="7"/>
  <c r="M33" i="7" s="1"/>
  <c r="O32" i="7"/>
  <c r="N32" i="7"/>
  <c r="J35" i="12"/>
  <c r="J35" i="13"/>
  <c r="R33" i="13"/>
  <c r="S33" i="13" s="1"/>
  <c r="H36" i="13"/>
  <c r="G36" i="13"/>
  <c r="I36" i="13"/>
  <c r="F37" i="13"/>
  <c r="M36" i="13"/>
  <c r="T35" i="13"/>
  <c r="Q35" i="13"/>
  <c r="K35" i="13"/>
  <c r="N35" i="13" s="1"/>
  <c r="R34" i="13"/>
  <c r="S34" i="13" s="1"/>
  <c r="P34" i="13"/>
  <c r="I36" i="12"/>
  <c r="H36" i="12"/>
  <c r="G36" i="12"/>
  <c r="M36" i="12" s="1"/>
  <c r="F37" i="12"/>
  <c r="L36" i="12"/>
  <c r="O35" i="12"/>
  <c r="N35" i="12"/>
  <c r="R31" i="8"/>
  <c r="S31" i="8" s="1"/>
  <c r="M34" i="8"/>
  <c r="T34" i="8" s="1"/>
  <c r="K33" i="8"/>
  <c r="N33" i="8" s="1"/>
  <c r="Q33" i="8"/>
  <c r="O32" i="8"/>
  <c r="P32" i="8" s="1"/>
  <c r="J36" i="8"/>
  <c r="I37" i="8"/>
  <c r="H37" i="8"/>
  <c r="F38" i="8"/>
  <c r="G37" i="8"/>
  <c r="J28" i="2"/>
  <c r="J12" i="1"/>
  <c r="H29" i="2"/>
  <c r="F30" i="2"/>
  <c r="G29" i="2"/>
  <c r="I29" i="2"/>
  <c r="G18" i="3"/>
  <c r="I18" i="3" s="1"/>
  <c r="F19" i="3"/>
  <c r="H13" i="1"/>
  <c r="F14" i="1"/>
  <c r="I13" i="1"/>
  <c r="G13" i="1"/>
  <c r="H17" i="3"/>
  <c r="F24" i="16" l="1"/>
  <c r="I23" i="16"/>
  <c r="G23" i="16"/>
  <c r="H23" i="16"/>
  <c r="J23" i="16" s="1"/>
  <c r="O33" i="7"/>
  <c r="O35" i="13"/>
  <c r="P35" i="13" s="1"/>
  <c r="L34" i="7"/>
  <c r="F35" i="7"/>
  <c r="I34" i="7"/>
  <c r="H34" i="7"/>
  <c r="J34" i="7" s="1"/>
  <c r="G34" i="7"/>
  <c r="M34" i="7" s="1"/>
  <c r="N33" i="7"/>
  <c r="M37" i="13"/>
  <c r="K36" i="13"/>
  <c r="N36" i="13" s="1"/>
  <c r="Q36" i="13"/>
  <c r="T36" i="13"/>
  <c r="F38" i="13"/>
  <c r="I37" i="13"/>
  <c r="H37" i="13"/>
  <c r="G37" i="13"/>
  <c r="R35" i="13"/>
  <c r="S35" i="13" s="1"/>
  <c r="J36" i="13"/>
  <c r="O36" i="12"/>
  <c r="N36" i="12"/>
  <c r="L37" i="12"/>
  <c r="I37" i="12"/>
  <c r="H37" i="12"/>
  <c r="G37" i="12"/>
  <c r="M37" i="12" s="1"/>
  <c r="F38" i="12"/>
  <c r="J36" i="12"/>
  <c r="R32" i="8"/>
  <c r="S32" i="8" s="1"/>
  <c r="O33" i="8"/>
  <c r="P33" i="8" s="1"/>
  <c r="M35" i="8"/>
  <c r="T35" i="8" s="1"/>
  <c r="K34" i="8"/>
  <c r="N34" i="8" s="1"/>
  <c r="Q34" i="8"/>
  <c r="J37" i="8"/>
  <c r="I38" i="8"/>
  <c r="H38" i="8"/>
  <c r="F39" i="8"/>
  <c r="G38" i="8"/>
  <c r="J13" i="1"/>
  <c r="F31" i="2"/>
  <c r="G30" i="2"/>
  <c r="I30" i="2"/>
  <c r="H30" i="2"/>
  <c r="G19" i="3"/>
  <c r="I19" i="3" s="1"/>
  <c r="F20" i="3"/>
  <c r="H14" i="1"/>
  <c r="F15" i="1"/>
  <c r="I14" i="1"/>
  <c r="G14" i="1"/>
  <c r="H18" i="3"/>
  <c r="J29" i="2"/>
  <c r="G24" i="16" l="1"/>
  <c r="F25" i="16"/>
  <c r="H24" i="16"/>
  <c r="I24" i="16"/>
  <c r="O36" i="13"/>
  <c r="P36" i="13" s="1"/>
  <c r="L35" i="7"/>
  <c r="G35" i="7"/>
  <c r="M35" i="7" s="1"/>
  <c r="O35" i="7" s="1"/>
  <c r="I35" i="7"/>
  <c r="F36" i="7"/>
  <c r="H35" i="7"/>
  <c r="O34" i="7"/>
  <c r="N34" i="7"/>
  <c r="J37" i="12"/>
  <c r="J37" i="13"/>
  <c r="F39" i="13"/>
  <c r="I38" i="13"/>
  <c r="G38" i="13"/>
  <c r="H38" i="13"/>
  <c r="R36" i="13"/>
  <c r="S36" i="13" s="1"/>
  <c r="M38" i="13"/>
  <c r="K37" i="13"/>
  <c r="N37" i="13" s="1"/>
  <c r="Q37" i="13"/>
  <c r="T37" i="13"/>
  <c r="N37" i="12"/>
  <c r="O37" i="12"/>
  <c r="L38" i="12"/>
  <c r="F39" i="12"/>
  <c r="I38" i="12"/>
  <c r="H38" i="12"/>
  <c r="G38" i="12"/>
  <c r="M38" i="12" s="1"/>
  <c r="O34" i="8"/>
  <c r="R34" i="8" s="1"/>
  <c r="S34" i="8" s="1"/>
  <c r="R33" i="8"/>
  <c r="S33" i="8" s="1"/>
  <c r="P34" i="8"/>
  <c r="M36" i="8"/>
  <c r="T36" i="8" s="1"/>
  <c r="K35" i="8"/>
  <c r="N35" i="8" s="1"/>
  <c r="Q35" i="8"/>
  <c r="H39" i="8"/>
  <c r="F40" i="8"/>
  <c r="G39" i="8"/>
  <c r="I39" i="8"/>
  <c r="J38" i="8"/>
  <c r="J14" i="1"/>
  <c r="J30" i="2"/>
  <c r="G20" i="3"/>
  <c r="I20" i="3" s="1"/>
  <c r="F21" i="3"/>
  <c r="H15" i="1"/>
  <c r="F16" i="1"/>
  <c r="I15" i="1"/>
  <c r="G15" i="1"/>
  <c r="H19" i="3"/>
  <c r="I31" i="2"/>
  <c r="H31" i="2"/>
  <c r="F32" i="2"/>
  <c r="G31" i="2"/>
  <c r="J24" i="16" l="1"/>
  <c r="I25" i="16"/>
  <c r="H25" i="16"/>
  <c r="J25" i="16" s="1"/>
  <c r="G25" i="16"/>
  <c r="F26" i="16"/>
  <c r="J35" i="7"/>
  <c r="L36" i="7"/>
  <c r="G36" i="7"/>
  <c r="M36" i="7" s="1"/>
  <c r="H36" i="7"/>
  <c r="I36" i="7"/>
  <c r="F37" i="7"/>
  <c r="N35" i="7"/>
  <c r="M39" i="13"/>
  <c r="K38" i="13"/>
  <c r="N38" i="13" s="1"/>
  <c r="Q38" i="13"/>
  <c r="T38" i="13"/>
  <c r="P37" i="13"/>
  <c r="J38" i="13"/>
  <c r="O37" i="13"/>
  <c r="R37" i="13" s="1"/>
  <c r="S37" i="13" s="1"/>
  <c r="G39" i="13"/>
  <c r="F40" i="13"/>
  <c r="I39" i="13"/>
  <c r="H39" i="13"/>
  <c r="J39" i="13" s="1"/>
  <c r="J38" i="12"/>
  <c r="L39" i="12"/>
  <c r="I39" i="12"/>
  <c r="H39" i="12"/>
  <c r="G39" i="12"/>
  <c r="M39" i="12" s="1"/>
  <c r="F40" i="12"/>
  <c r="N38" i="12"/>
  <c r="O38" i="12"/>
  <c r="O35" i="8"/>
  <c r="P35" i="8" s="1"/>
  <c r="K36" i="8"/>
  <c r="N36" i="8" s="1"/>
  <c r="M37" i="8"/>
  <c r="T37" i="8" s="1"/>
  <c r="Q36" i="8"/>
  <c r="J39" i="8"/>
  <c r="F41" i="8"/>
  <c r="G40" i="8"/>
  <c r="I40" i="8"/>
  <c r="H40" i="8"/>
  <c r="J31" i="2"/>
  <c r="J15" i="1"/>
  <c r="I32" i="2"/>
  <c r="H32" i="2"/>
  <c r="F33" i="2"/>
  <c r="G32" i="2"/>
  <c r="G21" i="3"/>
  <c r="I21" i="3" s="1"/>
  <c r="F22" i="3"/>
  <c r="H16" i="1"/>
  <c r="I16" i="1"/>
  <c r="G16" i="1"/>
  <c r="F17" i="1"/>
  <c r="H20" i="3"/>
  <c r="G26" i="16" l="1"/>
  <c r="I26" i="16"/>
  <c r="F27" i="16"/>
  <c r="H26" i="16"/>
  <c r="J26" i="16" s="1"/>
  <c r="L37" i="7"/>
  <c r="H37" i="7"/>
  <c r="I37" i="7"/>
  <c r="F38" i="7"/>
  <c r="G37" i="7"/>
  <c r="M37" i="7" s="1"/>
  <c r="J36" i="7"/>
  <c r="O36" i="7"/>
  <c r="N36" i="7"/>
  <c r="J39" i="12"/>
  <c r="H40" i="13"/>
  <c r="G40" i="13"/>
  <c r="I40" i="13"/>
  <c r="F41" i="13"/>
  <c r="O38" i="13"/>
  <c r="R38" i="13" s="1"/>
  <c r="S38" i="13" s="1"/>
  <c r="M40" i="13"/>
  <c r="Q39" i="13"/>
  <c r="K39" i="13"/>
  <c r="N39" i="13" s="1"/>
  <c r="T39" i="13"/>
  <c r="I40" i="12"/>
  <c r="H40" i="12"/>
  <c r="F41" i="12"/>
  <c r="G40" i="12"/>
  <c r="M40" i="12" s="1"/>
  <c r="L40" i="12"/>
  <c r="O39" i="12"/>
  <c r="N39" i="12"/>
  <c r="R35" i="8"/>
  <c r="S35" i="8" s="1"/>
  <c r="K37" i="8"/>
  <c r="N37" i="8" s="1"/>
  <c r="M38" i="8"/>
  <c r="T38" i="8" s="1"/>
  <c r="Q37" i="8"/>
  <c r="O36" i="8"/>
  <c r="P36" i="8" s="1"/>
  <c r="J40" i="8"/>
  <c r="F42" i="8"/>
  <c r="G41" i="8"/>
  <c r="I41" i="8"/>
  <c r="H41" i="8"/>
  <c r="J16" i="1"/>
  <c r="J32" i="2"/>
  <c r="G17" i="1"/>
  <c r="I17" i="1"/>
  <c r="H17" i="1"/>
  <c r="F18" i="1"/>
  <c r="H33" i="2"/>
  <c r="F34" i="2"/>
  <c r="G33" i="2"/>
  <c r="I33" i="2"/>
  <c r="G22" i="3"/>
  <c r="I22" i="3" s="1"/>
  <c r="F23" i="3"/>
  <c r="H21" i="3"/>
  <c r="O39" i="13" l="1"/>
  <c r="H27" i="16"/>
  <c r="G27" i="16"/>
  <c r="I27" i="16"/>
  <c r="O37" i="7"/>
  <c r="F39" i="7"/>
  <c r="L38" i="7"/>
  <c r="H38" i="7"/>
  <c r="G38" i="7"/>
  <c r="M38" i="7" s="1"/>
  <c r="I38" i="7"/>
  <c r="J37" i="7"/>
  <c r="N37" i="7"/>
  <c r="J40" i="12"/>
  <c r="P38" i="13"/>
  <c r="I41" i="13"/>
  <c r="H41" i="13"/>
  <c r="G41" i="13"/>
  <c r="F42" i="13"/>
  <c r="R39" i="13"/>
  <c r="S39" i="13" s="1"/>
  <c r="P39" i="13"/>
  <c r="M41" i="13"/>
  <c r="K40" i="13"/>
  <c r="N40" i="13" s="1"/>
  <c r="Q40" i="13"/>
  <c r="T40" i="13"/>
  <c r="J40" i="13"/>
  <c r="I41" i="12"/>
  <c r="H41" i="12"/>
  <c r="F42" i="12"/>
  <c r="G41" i="12"/>
  <c r="M41" i="12" s="1"/>
  <c r="L41" i="12"/>
  <c r="O40" i="12"/>
  <c r="N40" i="12"/>
  <c r="R36" i="8"/>
  <c r="S36" i="8" s="1"/>
  <c r="K38" i="8"/>
  <c r="N38" i="8" s="1"/>
  <c r="M39" i="8"/>
  <c r="T39" i="8" s="1"/>
  <c r="Q38" i="8"/>
  <c r="O37" i="8"/>
  <c r="P37" i="8" s="1"/>
  <c r="J41" i="8"/>
  <c r="F43" i="8"/>
  <c r="G42" i="8"/>
  <c r="I42" i="8"/>
  <c r="H42" i="8"/>
  <c r="J17" i="1"/>
  <c r="G18" i="1"/>
  <c r="I18" i="1"/>
  <c r="H18" i="1"/>
  <c r="F19" i="1"/>
  <c r="F35" i="2"/>
  <c r="G34" i="2"/>
  <c r="I34" i="2"/>
  <c r="H34" i="2"/>
  <c r="G23" i="3"/>
  <c r="I23" i="3" s="1"/>
  <c r="F24" i="3"/>
  <c r="H22" i="3"/>
  <c r="J33" i="2"/>
  <c r="O40" i="13" l="1"/>
  <c r="J27" i="16"/>
  <c r="J38" i="7"/>
  <c r="O38" i="7"/>
  <c r="N38" i="7"/>
  <c r="L39" i="7"/>
  <c r="G39" i="7"/>
  <c r="M39" i="7" s="1"/>
  <c r="O39" i="7" s="1"/>
  <c r="F40" i="7"/>
  <c r="H39" i="7"/>
  <c r="I39" i="7"/>
  <c r="J41" i="12"/>
  <c r="J41" i="13"/>
  <c r="P40" i="13"/>
  <c r="R40" i="13"/>
  <c r="S40" i="13" s="1"/>
  <c r="I42" i="13"/>
  <c r="H42" i="13"/>
  <c r="F43" i="13"/>
  <c r="G42" i="13"/>
  <c r="M42" i="13"/>
  <c r="K41" i="13"/>
  <c r="N41" i="13" s="1"/>
  <c r="T41" i="13"/>
  <c r="Q41" i="13"/>
  <c r="O41" i="12"/>
  <c r="N41" i="12"/>
  <c r="H42" i="12"/>
  <c r="F43" i="12"/>
  <c r="G42" i="12"/>
  <c r="M42" i="12" s="1"/>
  <c r="L42" i="12"/>
  <c r="I42" i="12"/>
  <c r="R37" i="8"/>
  <c r="S37" i="8" s="1"/>
  <c r="M40" i="8"/>
  <c r="T40" i="8" s="1"/>
  <c r="K39" i="8"/>
  <c r="N39" i="8" s="1"/>
  <c r="Q39" i="8"/>
  <c r="O38" i="8"/>
  <c r="P38" i="8" s="1"/>
  <c r="J42" i="8"/>
  <c r="F44" i="8"/>
  <c r="I43" i="8"/>
  <c r="H43" i="8"/>
  <c r="G43" i="8"/>
  <c r="J18" i="1"/>
  <c r="H23" i="3"/>
  <c r="J34" i="2"/>
  <c r="G19" i="1"/>
  <c r="I19" i="1"/>
  <c r="H19" i="1"/>
  <c r="F20" i="1"/>
  <c r="G24" i="3"/>
  <c r="I24" i="3" s="1"/>
  <c r="F25" i="3"/>
  <c r="I35" i="2"/>
  <c r="F36" i="2"/>
  <c r="H35" i="2"/>
  <c r="G35" i="2"/>
  <c r="J39" i="7" l="1"/>
  <c r="L40" i="7"/>
  <c r="G40" i="7"/>
  <c r="M40" i="7" s="1"/>
  <c r="F41" i="7"/>
  <c r="H40" i="7"/>
  <c r="I40" i="7"/>
  <c r="N39" i="7"/>
  <c r="O41" i="13"/>
  <c r="P41" i="13" s="1"/>
  <c r="J42" i="13"/>
  <c r="I43" i="13"/>
  <c r="G43" i="13"/>
  <c r="F44" i="13"/>
  <c r="H43" i="13"/>
  <c r="J43" i="13" s="1"/>
  <c r="M43" i="13"/>
  <c r="K42" i="13"/>
  <c r="N42" i="13" s="1"/>
  <c r="T42" i="13"/>
  <c r="Q42" i="13"/>
  <c r="F44" i="12"/>
  <c r="G43" i="12"/>
  <c r="M43" i="12" s="1"/>
  <c r="L43" i="12"/>
  <c r="I43" i="12"/>
  <c r="H43" i="12"/>
  <c r="O42" i="12"/>
  <c r="N42" i="12"/>
  <c r="J42" i="12"/>
  <c r="O39" i="8"/>
  <c r="P39" i="8" s="1"/>
  <c r="R38" i="8"/>
  <c r="S38" i="8" s="1"/>
  <c r="K40" i="8"/>
  <c r="N40" i="8" s="1"/>
  <c r="M41" i="8"/>
  <c r="T41" i="8" s="1"/>
  <c r="Q40" i="8"/>
  <c r="J43" i="8"/>
  <c r="I44" i="8"/>
  <c r="H44" i="8"/>
  <c r="G44" i="8"/>
  <c r="J19" i="1"/>
  <c r="J35" i="2"/>
  <c r="G25" i="3"/>
  <c r="I25" i="3" s="1"/>
  <c r="F26" i="3"/>
  <c r="I36" i="2"/>
  <c r="H36" i="2"/>
  <c r="G36" i="2"/>
  <c r="F37" i="2"/>
  <c r="H24" i="3"/>
  <c r="G20" i="1"/>
  <c r="I20" i="1"/>
  <c r="H20" i="1"/>
  <c r="F21" i="1"/>
  <c r="J40" i="7" l="1"/>
  <c r="L41" i="7"/>
  <c r="G41" i="7"/>
  <c r="M41" i="7" s="1"/>
  <c r="O41" i="7" s="1"/>
  <c r="H41" i="7"/>
  <c r="F42" i="7"/>
  <c r="I41" i="7"/>
  <c r="R41" i="13"/>
  <c r="S41" i="13" s="1"/>
  <c r="O40" i="7"/>
  <c r="N40" i="7"/>
  <c r="J43" i="12"/>
  <c r="O42" i="13"/>
  <c r="R42" i="13" s="1"/>
  <c r="S42" i="13" s="1"/>
  <c r="M44" i="13"/>
  <c r="Q43" i="13"/>
  <c r="T43" i="13"/>
  <c r="K43" i="13"/>
  <c r="N43" i="13" s="1"/>
  <c r="H44" i="13"/>
  <c r="G44" i="13"/>
  <c r="I44" i="13"/>
  <c r="O43" i="12"/>
  <c r="N43" i="12"/>
  <c r="L44" i="12"/>
  <c r="I44" i="12"/>
  <c r="G44" i="12"/>
  <c r="M44" i="12" s="1"/>
  <c r="H44" i="12"/>
  <c r="R39" i="8"/>
  <c r="S39" i="8" s="1"/>
  <c r="K41" i="8"/>
  <c r="N41" i="8" s="1"/>
  <c r="M42" i="8"/>
  <c r="T42" i="8" s="1"/>
  <c r="Q41" i="8"/>
  <c r="O40" i="8"/>
  <c r="P40" i="8" s="1"/>
  <c r="J44" i="8"/>
  <c r="J20" i="1"/>
  <c r="H25" i="3"/>
  <c r="H37" i="2"/>
  <c r="F38" i="2"/>
  <c r="G37" i="2"/>
  <c r="I37" i="2"/>
  <c r="G26" i="3"/>
  <c r="I26" i="3" s="1"/>
  <c r="F27" i="3"/>
  <c r="G21" i="1"/>
  <c r="F22" i="1"/>
  <c r="I21" i="1"/>
  <c r="H21" i="1"/>
  <c r="J36" i="2"/>
  <c r="J41" i="7" l="1"/>
  <c r="L42" i="7"/>
  <c r="G42" i="7"/>
  <c r="M42" i="7" s="1"/>
  <c r="F43" i="7"/>
  <c r="I42" i="7"/>
  <c r="H42" i="7"/>
  <c r="P42" i="13"/>
  <c r="N41" i="7"/>
  <c r="J44" i="12"/>
  <c r="K44" i="13"/>
  <c r="N44" i="13" s="1"/>
  <c r="Q44" i="13"/>
  <c r="T44" i="13"/>
  <c r="O43" i="13"/>
  <c r="R43" i="13" s="1"/>
  <c r="S43" i="13" s="1"/>
  <c r="J44" i="13"/>
  <c r="O44" i="12"/>
  <c r="N44" i="12"/>
  <c r="R40" i="8"/>
  <c r="S40" i="8" s="1"/>
  <c r="M43" i="8"/>
  <c r="T43" i="8" s="1"/>
  <c r="K42" i="8"/>
  <c r="N42" i="8" s="1"/>
  <c r="Q42" i="8"/>
  <c r="O41" i="8"/>
  <c r="P41" i="8" s="1"/>
  <c r="J21" i="1"/>
  <c r="G27" i="3"/>
  <c r="I27" i="3" s="1"/>
  <c r="F39" i="2"/>
  <c r="G38" i="2"/>
  <c r="I38" i="2"/>
  <c r="H38" i="2"/>
  <c r="G22" i="1"/>
  <c r="F23" i="1"/>
  <c r="I22" i="1"/>
  <c r="H22" i="1"/>
  <c r="H26" i="3"/>
  <c r="J37" i="2"/>
  <c r="J42" i="7" l="1"/>
  <c r="L43" i="7"/>
  <c r="G43" i="7"/>
  <c r="M43" i="7" s="1"/>
  <c r="O43" i="7" s="1"/>
  <c r="F44" i="7"/>
  <c r="H43" i="7"/>
  <c r="I43" i="7"/>
  <c r="O42" i="7"/>
  <c r="N42" i="7"/>
  <c r="O44" i="13"/>
  <c r="R44" i="13"/>
  <c r="S44" i="13" s="1"/>
  <c r="P44" i="13"/>
  <c r="P43" i="13"/>
  <c r="R41" i="8"/>
  <c r="S41" i="8" s="1"/>
  <c r="K43" i="8"/>
  <c r="N43" i="8" s="1"/>
  <c r="M44" i="8"/>
  <c r="T44" i="8" s="1"/>
  <c r="Q43" i="8"/>
  <c r="O42" i="8"/>
  <c r="P42" i="8" s="1"/>
  <c r="J22" i="1"/>
  <c r="I39" i="2"/>
  <c r="H39" i="2"/>
  <c r="G39" i="2"/>
  <c r="F40" i="2"/>
  <c r="J38" i="2"/>
  <c r="G23" i="1"/>
  <c r="F24" i="1"/>
  <c r="I23" i="1"/>
  <c r="H23" i="1"/>
  <c r="H27" i="3"/>
  <c r="L44" i="7" l="1"/>
  <c r="H44" i="7"/>
  <c r="I44" i="7"/>
  <c r="G44" i="7"/>
  <c r="M44" i="7" s="1"/>
  <c r="J43" i="7"/>
  <c r="N43" i="7"/>
  <c r="R42" i="8"/>
  <c r="S42" i="8" s="1"/>
  <c r="K44" i="8"/>
  <c r="N44" i="8" s="1"/>
  <c r="Q44" i="8"/>
  <c r="O43" i="8"/>
  <c r="P43" i="8" s="1"/>
  <c r="J39" i="2"/>
  <c r="J23" i="1"/>
  <c r="I40" i="2"/>
  <c r="H40" i="2"/>
  <c r="F41" i="2"/>
  <c r="G40" i="2"/>
  <c r="G24" i="1"/>
  <c r="F25" i="1"/>
  <c r="I24" i="1"/>
  <c r="H24" i="1"/>
  <c r="J44" i="7" l="1"/>
  <c r="O44" i="7"/>
  <c r="N44" i="7"/>
  <c r="O44" i="8"/>
  <c r="R44" i="8"/>
  <c r="S44" i="8" s="1"/>
  <c r="R43" i="8"/>
  <c r="S43" i="8" s="1"/>
  <c r="P44" i="8"/>
  <c r="J24" i="1"/>
  <c r="J40" i="2"/>
  <c r="G25" i="1"/>
  <c r="F26" i="1"/>
  <c r="I25" i="1"/>
  <c r="H25" i="1"/>
  <c r="H41" i="2"/>
  <c r="F42" i="2"/>
  <c r="G41" i="2"/>
  <c r="I41" i="2"/>
  <c r="J25" i="1" l="1"/>
  <c r="F43" i="2"/>
  <c r="G42" i="2"/>
  <c r="I42" i="2"/>
  <c r="H42" i="2"/>
  <c r="G26" i="1"/>
  <c r="F27" i="1"/>
  <c r="I26" i="1"/>
  <c r="H26" i="1"/>
  <c r="J41" i="2"/>
  <c r="J26" i="1" l="1"/>
  <c r="J42" i="2"/>
  <c r="G27" i="1"/>
  <c r="I27" i="1"/>
  <c r="H27" i="1"/>
  <c r="I43" i="2"/>
  <c r="H43" i="2"/>
  <c r="F44" i="2"/>
  <c r="G43" i="2"/>
  <c r="J27" i="1" l="1"/>
  <c r="J43" i="2"/>
  <c r="I44" i="2"/>
  <c r="H44" i="2"/>
  <c r="G44" i="2"/>
  <c r="J44" i="2" l="1"/>
</calcChain>
</file>

<file path=xl/sharedStrings.xml><?xml version="1.0" encoding="utf-8"?>
<sst xmlns="http://schemas.openxmlformats.org/spreadsheetml/2006/main" count="615" uniqueCount="137">
  <si>
    <t>Inputs in yellow</t>
  </si>
  <si>
    <t>Riskless rate</t>
  </si>
  <si>
    <t>Portfolio</t>
  </si>
  <si>
    <t>% in</t>
  </si>
  <si>
    <t>Expected</t>
  </si>
  <si>
    <t>Standard</t>
  </si>
  <si>
    <t>Asset A</t>
  </si>
  <si>
    <t>Asset B</t>
  </si>
  <si>
    <t>Return</t>
  </si>
  <si>
    <t>Deviation</t>
  </si>
  <si>
    <t>Exp Return</t>
  </si>
  <si>
    <t>Std Deviation</t>
  </si>
  <si>
    <t>Variance</t>
  </si>
  <si>
    <t>A,B</t>
  </si>
  <si>
    <t>Correlation (A,B) *</t>
  </si>
  <si>
    <t>Covariance (A,B) *</t>
  </si>
  <si>
    <t>(*) Correlation betweet RETURNS</t>
  </si>
  <si>
    <t>Minimum variance portfolio</t>
  </si>
  <si>
    <t>3rd idea: market portfolio (maximizes Sharpe ratio)</t>
  </si>
  <si>
    <t xml:space="preserve"> </t>
  </si>
  <si>
    <t>Sharpe</t>
  </si>
  <si>
    <t>Ratio</t>
  </si>
  <si>
    <t>Maximum Sharpe Ratio (market portfolio)</t>
  </si>
  <si>
    <t>For Chart</t>
  </si>
  <si>
    <t>4th idea: capital market line (CML)</t>
  </si>
  <si>
    <t>Risk-free</t>
  </si>
  <si>
    <t>Market</t>
  </si>
  <si>
    <t>Market Portfolio (M)</t>
  </si>
  <si>
    <t>Percent</t>
  </si>
  <si>
    <t>Asset</t>
  </si>
  <si>
    <t>(CML)</t>
  </si>
  <si>
    <t>Volatility</t>
  </si>
  <si>
    <t>5th idea: security market line (SML)</t>
  </si>
  <si>
    <t>Correlation</t>
  </si>
  <si>
    <t>Covariance</t>
  </si>
  <si>
    <t>Selected Portfolios (Note they are all on the SML)</t>
  </si>
  <si>
    <t>Covariance (Port, Market)</t>
  </si>
  <si>
    <t>Beta</t>
  </si>
  <si>
    <t>Expected Return</t>
  </si>
  <si>
    <t>Expected return</t>
  </si>
  <si>
    <t>https://www.bionicturtle.com/forum/threads/market-portfolio-and-derivative-of-weight.9919/#post-45560</t>
  </si>
  <si>
    <t>Solved per this thread:</t>
  </si>
  <si>
    <t>T1-Capital market line (CML)</t>
  </si>
  <si>
    <t>T1-Market Portfolio (maximizes Sharpe ratio)</t>
  </si>
  <si>
    <t>T1-Security market line (SML)</t>
  </si>
  <si>
    <t>T1-PPC-MVP</t>
  </si>
  <si>
    <t>T1-Market Portfolio</t>
  </si>
  <si>
    <t>T1-CML</t>
  </si>
  <si>
    <t>T1-SML</t>
  </si>
  <si>
    <t>Portfolio ($)</t>
  </si>
  <si>
    <t>($)</t>
  </si>
  <si>
    <t>Dollars</t>
  </si>
  <si>
    <t>Weights</t>
  </si>
  <si>
    <t>(%)</t>
  </si>
  <si>
    <t>Return ($)</t>
  </si>
  <si>
    <t xml:space="preserve">Std </t>
  </si>
  <si>
    <t>Dev ($)</t>
  </si>
  <si>
    <t>BT p1-t2-305-2</t>
  </si>
  <si>
    <t>&lt;&lt;-  uses negated rho to reconcile</t>
  </si>
  <si>
    <t>A (%)</t>
  </si>
  <si>
    <t>B (%)</t>
  </si>
  <si>
    <t>Min hedge ratio</t>
  </si>
  <si>
    <t>Vol(%)</t>
  </si>
  <si>
    <t>Vol($)</t>
  </si>
  <si>
    <t>Sheet index:</t>
  </si>
  <si>
    <t>BT p1-t2-305-1</t>
  </si>
  <si>
    <t>arch</t>
  </si>
  <si>
    <t>Correlation (A,B)</t>
  </si>
  <si>
    <t>Linear relationship between A &amp; B</t>
  </si>
  <si>
    <t>T1-Portfolio Possibilities Curve (PPC), MVP &amp; Sharpe</t>
  </si>
  <si>
    <r>
      <rPr>
        <b/>
        <sz val="10"/>
        <color rgb="FFFF0000"/>
        <rFont val="Calibri"/>
        <family val="2"/>
        <scheme val="minor"/>
      </rPr>
      <t>Minimum</t>
    </r>
    <r>
      <rPr>
        <b/>
        <sz val="10"/>
        <rFont val="Calibri"/>
        <family val="2"/>
        <scheme val="minor"/>
      </rPr>
      <t xml:space="preserve"> variance portfolio</t>
    </r>
  </si>
  <si>
    <r>
      <t>Most efficient portfolio (</t>
    </r>
    <r>
      <rPr>
        <b/>
        <sz val="10"/>
        <color rgb="FFFF0000"/>
        <rFont val="Calibri"/>
        <family val="2"/>
        <scheme val="minor"/>
      </rPr>
      <t>Maximum</t>
    </r>
    <r>
      <rPr>
        <b/>
        <sz val="10"/>
        <rFont val="Calibri"/>
        <family val="2"/>
        <scheme val="minor"/>
      </rPr>
      <t xml:space="preserve"> Sharpe ratio)</t>
    </r>
  </si>
  <si>
    <t>Beyond this sheet is archive</t>
  </si>
  <si>
    <t>1st idea: Concave portfolio possibilities curve</t>
  </si>
  <si>
    <t>2nd idea: minimum variance portfolio (MVP)</t>
  </si>
  <si>
    <t>3rd idea: market portfolio = MAX Sharpe</t>
  </si>
  <si>
    <t>Two solutions in purple  --&gt;</t>
  </si>
  <si>
    <t>Adjacent used to prove</t>
  </si>
  <si>
    <t>local min/max</t>
  </si>
  <si>
    <t>This page has no inputs (see prior sheet)</t>
  </si>
  <si>
    <t>Exp return, E[R(M)]</t>
  </si>
  <si>
    <t>Volatility, σ(M)</t>
  </si>
  <si>
    <t>Excess market return (MRP)</t>
  </si>
  <si>
    <t>C</t>
  </si>
  <si>
    <t>B</t>
  </si>
  <si>
    <t>A</t>
  </si>
  <si>
    <t>Shar</t>
  </si>
  <si>
    <t>Trey</t>
  </si>
  <si>
    <t>β(P,M)</t>
  </si>
  <si>
    <t>tion, σ</t>
  </si>
  <si>
    <t>E(return)</t>
  </si>
  <si>
    <t>Devia-</t>
  </si>
  <si>
    <t>ERP</t>
  </si>
  <si>
    <t>Riskfree rate</t>
  </si>
  <si>
    <t>Market's Sharpe</t>
  </si>
  <si>
    <t>Treynor</t>
  </si>
  <si>
    <t>alpha</t>
  </si>
  <si>
    <t>Er</t>
  </si>
  <si>
    <t>beta</t>
  </si>
  <si>
    <t>rho(I, M)</t>
  </si>
  <si>
    <t>sigma</t>
  </si>
  <si>
    <t>E[r]</t>
  </si>
  <si>
    <t>D</t>
  </si>
  <si>
    <t>(C )</t>
  </si>
  <si>
    <t>(B)</t>
  </si>
  <si>
    <t>(A)</t>
  </si>
  <si>
    <t>sigma(M)</t>
  </si>
  <si>
    <t>M</t>
  </si>
  <si>
    <t>Rf</t>
  </si>
  <si>
    <t>BTPQ 20-8-1</t>
  </si>
  <si>
    <t>BTPQ 20-8-1a</t>
  </si>
  <si>
    <t>BTPQ 20-8-2</t>
  </si>
  <si>
    <t>BTPQ 20-8-3</t>
  </si>
  <si>
    <t>T1-PPC-MVP_alt2</t>
  </si>
  <si>
    <t>T1-SML_alt2</t>
  </si>
  <si>
    <t>BT p1-t2-305-1_alt2</t>
  </si>
  <si>
    <t>BT p1-t2-305-2_alt2</t>
  </si>
  <si>
    <t>=wA*wMA*sigA^2+wB*wMb*sigB^2+(wA*wMb+wB*wMa)*COV</t>
  </si>
  <si>
    <t>CML</t>
  </si>
  <si>
    <t>PPC</t>
  </si>
  <si>
    <t>Risk</t>
  </si>
  <si>
    <t>E[R]</t>
  </si>
  <si>
    <t>sigma, σ</t>
  </si>
  <si>
    <t>weight_a</t>
  </si>
  <si>
    <t>weight_b</t>
  </si>
  <si>
    <r>
      <t xml:space="preserve">sigma, </t>
    </r>
    <r>
      <rPr>
        <b/>
        <sz val="10"/>
        <rFont val="Calibri"/>
        <family val="2"/>
      </rPr>
      <t>σ</t>
    </r>
  </si>
  <si>
    <t>cov(P, M)</t>
  </si>
  <si>
    <t>β(P, M)</t>
  </si>
  <si>
    <t>Systematic</t>
  </si>
  <si>
    <t>Specif</t>
  </si>
  <si>
    <t>Total</t>
  </si>
  <si>
    <t>Market Portfolio</t>
  </si>
  <si>
    <t>Specific</t>
  </si>
  <si>
    <t>https://forum.bionicturtle.com/threads/week-in-financial-education-2021-05-24.23840/post-88829</t>
  </si>
  <si>
    <t>See</t>
  </si>
  <si>
    <t>Sharp illustration (and commentary)</t>
  </si>
  <si>
    <t>on difference between CML and SML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</si>
</sst>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"/>
    <numFmt numFmtId="165" formatCode="0.0%"/>
    <numFmt numFmtId="166" formatCode="_(* #,##0.0000_);_(* \(#,##0.0000\);_(* &quot;-&quot;??_);_(@_)"/>
    <numFmt numFmtId="167" formatCode="_(* #,##0.00000_);_(* \(#,##0.00000\);_(* &quot;-&quot;??_);_(@_)"/>
    <numFmt numFmtId="168" formatCode="_(* #,##0.000_);_(* \(#,##0.000\);_(* &quot;-&quot;??_);_(@_)"/>
    <numFmt numFmtId="169" formatCode="#,##0.00\ ;&quot; (&quot;#,##0.00\);&quot; -&quot;#\ ;@\ "/>
    <numFmt numFmtId="170" formatCode="0.000%"/>
    <numFmt numFmtId="171" formatCode="0.0000%"/>
    <numFmt numFmtId="172" formatCode="&quot;$&quot;#,##0.0000_);[Red]\(&quot;$&quot;#,##0.0000\)"/>
    <numFmt numFmtId="173" formatCode="0.0000000%"/>
    <numFmt numFmtId="174" formatCode="0.0"/>
  </numFmts>
  <fonts count="20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0"/>
      <name val="Calibri"/>
      <family val="2"/>
    </font>
    <font>
      <u/>
      <sz val="10"/>
      <color theme="10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b/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FF0000"/>
      <name val="Arial"/>
      <family val="2"/>
    </font>
    <font>
      <sz val="12"/>
      <name val="Calibri"/>
      <family val="2"/>
      <scheme val="minor"/>
    </font>
    <font>
      <sz val="11"/>
      <color rgb="FF1D1D1D"/>
      <name val="Segoe UI"/>
      <family val="2"/>
    </font>
    <font>
      <b/>
      <sz val="12"/>
      <name val="Calibri"/>
      <family val="2"/>
      <scheme val="minor"/>
    </font>
    <font>
      <b/>
      <sz val="10"/>
      <name val="Arial"/>
      <family val="2"/>
    </font>
    <font>
      <b/>
      <sz val="10"/>
      <name val="Calibri"/>
      <family val="2"/>
    </font>
    <font>
      <b/>
      <sz val="10"/>
      <color rgb="FFAC66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C19FFF"/>
        <bgColor indexed="64"/>
      </patternFill>
    </fill>
    <fill>
      <patternFill patternType="solid">
        <fgColor rgb="FFF2EBFF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9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/>
    <xf numFmtId="44" fontId="1" fillId="0" borderId="0" applyFont="0" applyFill="0" applyBorder="0" applyAlignment="0" applyProtection="0"/>
    <xf numFmtId="42" fontId="2" fillId="0" borderId="0"/>
    <xf numFmtId="0" fontId="7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38">
    <xf numFmtId="0" fontId="0" fillId="0" borderId="0" xfId="0"/>
    <xf numFmtId="0" fontId="4" fillId="0" borderId="0" xfId="0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/>
    </xf>
    <xf numFmtId="0" fontId="3" fillId="3" borderId="0" xfId="0" applyFont="1" applyFill="1" applyAlignment="1">
      <alignment horizontal="left" vertical="top"/>
    </xf>
    <xf numFmtId="0" fontId="3" fillId="3" borderId="0" xfId="0" applyFont="1" applyFill="1" applyAlignment="1">
      <alignment vertical="top"/>
    </xf>
    <xf numFmtId="164" fontId="4" fillId="0" borderId="0" xfId="0" applyNumberFormat="1" applyFont="1" applyFill="1" applyAlignment="1">
      <alignment horizontal="left" vertical="top"/>
    </xf>
    <xf numFmtId="10" fontId="3" fillId="3" borderId="0" xfId="2" applyNumberFormat="1" applyFont="1" applyFill="1" applyAlignment="1">
      <alignment vertical="top"/>
    </xf>
    <xf numFmtId="0" fontId="3" fillId="0" borderId="1" xfId="0" applyFont="1" applyFill="1" applyBorder="1" applyAlignment="1">
      <alignment horizontal="centerContinuous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right" wrapText="1"/>
    </xf>
    <xf numFmtId="164" fontId="3" fillId="0" borderId="1" xfId="0" applyNumberFormat="1" applyFont="1" applyFill="1" applyBorder="1" applyAlignment="1">
      <alignment horizontal="left" vertical="top"/>
    </xf>
    <xf numFmtId="16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 wrapText="1"/>
    </xf>
    <xf numFmtId="9" fontId="4" fillId="3" borderId="0" xfId="2" applyNumberFormat="1" applyFont="1" applyFill="1" applyAlignment="1">
      <alignment horizontal="right" vertical="top"/>
    </xf>
    <xf numFmtId="9" fontId="6" fillId="0" borderId="0" xfId="2" applyNumberFormat="1" applyFont="1" applyFill="1" applyAlignment="1">
      <alignment horizontal="right" vertical="top"/>
    </xf>
    <xf numFmtId="165" fontId="4" fillId="0" borderId="0" xfId="2" quotePrefix="1" applyNumberFormat="1" applyFont="1" applyFill="1" applyAlignment="1">
      <alignment vertical="top"/>
    </xf>
    <xf numFmtId="9" fontId="4" fillId="0" borderId="0" xfId="2" applyNumberFormat="1" applyFont="1" applyFill="1" applyAlignment="1">
      <alignment horizontal="right" vertical="top"/>
    </xf>
    <xf numFmtId="166" fontId="3" fillId="0" borderId="0" xfId="1" applyNumberFormat="1" applyFont="1" applyFill="1" applyAlignment="1">
      <alignment vertical="top"/>
    </xf>
    <xf numFmtId="0" fontId="3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165" fontId="3" fillId="0" borderId="0" xfId="2" quotePrefix="1" applyNumberFormat="1" applyFont="1" applyFill="1" applyAlignment="1">
      <alignment vertical="top"/>
    </xf>
    <xf numFmtId="0" fontId="4" fillId="0" borderId="0" xfId="0" applyFont="1" applyFill="1" applyAlignment="1">
      <alignment horizontal="right" vertical="top"/>
    </xf>
    <xf numFmtId="166" fontId="3" fillId="0" borderId="0" xfId="2" applyNumberFormat="1" applyFont="1" applyFill="1" applyAlignment="1">
      <alignment vertical="top"/>
    </xf>
    <xf numFmtId="167" fontId="4" fillId="0" borderId="0" xfId="1" applyNumberFormat="1" applyFont="1" applyFill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6" fontId="3" fillId="0" borderId="0" xfId="0" applyNumberFormat="1" applyFont="1" applyFill="1" applyBorder="1" applyAlignment="1">
      <alignment horizontal="right" vertical="top"/>
    </xf>
    <xf numFmtId="10" fontId="4" fillId="0" borderId="0" xfId="2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0" fontId="3" fillId="0" borderId="0" xfId="2" applyNumberFormat="1" applyFont="1" applyFill="1" applyAlignment="1">
      <alignment vertical="top"/>
    </xf>
    <xf numFmtId="0" fontId="3" fillId="0" borderId="0" xfId="0" applyFont="1" applyFill="1" applyBorder="1" applyAlignment="1">
      <alignment horizontal="centerContinuous" vertical="top"/>
    </xf>
    <xf numFmtId="0" fontId="3" fillId="0" borderId="1" xfId="0" applyFont="1" applyFill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0" fontId="3" fillId="2" borderId="1" xfId="0" applyFont="1" applyFill="1" applyBorder="1" applyAlignment="1">
      <alignment vertical="top"/>
    </xf>
    <xf numFmtId="0" fontId="4" fillId="2" borderId="1" xfId="0" applyFont="1" applyFill="1" applyBorder="1" applyAlignment="1">
      <alignment vertical="top"/>
    </xf>
    <xf numFmtId="0" fontId="4" fillId="4" borderId="0" xfId="0" applyFont="1" applyFill="1" applyAlignment="1">
      <alignment vertical="top"/>
    </xf>
    <xf numFmtId="0" fontId="3" fillId="4" borderId="0" xfId="0" applyFont="1" applyFill="1" applyAlignment="1">
      <alignment vertical="top"/>
    </xf>
    <xf numFmtId="0" fontId="3" fillId="0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3" fillId="0" borderId="0" xfId="0" applyFont="1" applyFill="1" applyAlignment="1">
      <alignment horizontal="left" vertical="top"/>
    </xf>
    <xf numFmtId="6" fontId="3" fillId="0" borderId="1" xfId="0" applyNumberFormat="1" applyFont="1" applyFill="1" applyBorder="1" applyAlignment="1">
      <alignment horizontal="right" vertical="top"/>
    </xf>
    <xf numFmtId="0" fontId="3" fillId="0" borderId="1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 wrapText="1"/>
    </xf>
    <xf numFmtId="165" fontId="4" fillId="0" borderId="0" xfId="2" applyNumberFormat="1" applyFont="1" applyFill="1" applyAlignment="1">
      <alignment horizontal="right" vertical="top"/>
    </xf>
    <xf numFmtId="9" fontId="4" fillId="0" borderId="0" xfId="0" applyNumberFormat="1" applyFont="1" applyFill="1" applyAlignment="1">
      <alignment vertical="top"/>
    </xf>
    <xf numFmtId="10" fontId="3" fillId="2" borderId="0" xfId="0" applyNumberFormat="1" applyFont="1" applyFill="1" applyAlignment="1">
      <alignment vertical="top"/>
    </xf>
    <xf numFmtId="10" fontId="4" fillId="0" borderId="0" xfId="0" applyNumberFormat="1" applyFont="1" applyFill="1" applyAlignment="1">
      <alignment vertical="top"/>
    </xf>
    <xf numFmtId="165" fontId="4" fillId="0" borderId="0" xfId="2" applyNumberFormat="1" applyFont="1" applyFill="1" applyAlignment="1">
      <alignment vertical="top"/>
    </xf>
    <xf numFmtId="10" fontId="4" fillId="0" borderId="0" xfId="2" applyNumberFormat="1" applyFont="1" applyFill="1" applyAlignment="1">
      <alignment vertical="top"/>
    </xf>
    <xf numFmtId="166" fontId="4" fillId="0" borderId="0" xfId="1" applyNumberFormat="1" applyFont="1" applyFill="1" applyAlignment="1">
      <alignment vertical="top"/>
    </xf>
    <xf numFmtId="10" fontId="4" fillId="0" borderId="0" xfId="2" applyNumberFormat="1" applyFont="1" applyFill="1" applyAlignment="1">
      <alignment horizontal="right" vertical="top"/>
    </xf>
    <xf numFmtId="168" fontId="4" fillId="0" borderId="0" xfId="1" applyNumberFormat="1" applyFont="1" applyFill="1" applyAlignment="1">
      <alignment vertical="top"/>
    </xf>
    <xf numFmtId="165" fontId="4" fillId="0" borderId="0" xfId="0" applyNumberFormat="1" applyFont="1" applyFill="1" applyAlignment="1">
      <alignment vertical="top"/>
    </xf>
    <xf numFmtId="0" fontId="3" fillId="5" borderId="0" xfId="0" applyFont="1" applyFill="1" applyAlignment="1">
      <alignment horizontal="left" vertical="top"/>
    </xf>
    <xf numFmtId="0" fontId="4" fillId="5" borderId="0" xfId="0" applyFont="1" applyFill="1" applyAlignment="1">
      <alignment horizontal="left" vertical="top"/>
    </xf>
    <xf numFmtId="0" fontId="4" fillId="5" borderId="0" xfId="0" applyFont="1" applyFill="1" applyAlignment="1">
      <alignment vertical="top"/>
    </xf>
    <xf numFmtId="170" fontId="3" fillId="0" borderId="0" xfId="2" applyNumberFormat="1" applyFont="1" applyFill="1" applyAlignment="1">
      <alignment vertical="top"/>
    </xf>
    <xf numFmtId="0" fontId="8" fillId="0" borderId="0" xfId="17" applyFill="1" applyAlignment="1">
      <alignment vertical="top"/>
    </xf>
    <xf numFmtId="10" fontId="4" fillId="6" borderId="0" xfId="0" applyNumberFormat="1" applyFont="1" applyFill="1" applyAlignment="1">
      <alignment vertical="top"/>
    </xf>
    <xf numFmtId="165" fontId="4" fillId="6" borderId="0" xfId="2" quotePrefix="1" applyNumberFormat="1" applyFont="1" applyFill="1" applyAlignment="1">
      <alignment vertical="top"/>
    </xf>
    <xf numFmtId="171" fontId="4" fillId="6" borderId="0" xfId="2" quotePrefix="1" applyNumberFormat="1" applyFont="1" applyFill="1" applyAlignment="1">
      <alignment vertical="top"/>
    </xf>
    <xf numFmtId="171" fontId="3" fillId="7" borderId="0" xfId="2" quotePrefix="1" applyNumberFormat="1" applyFont="1" applyFill="1" applyAlignment="1">
      <alignment vertical="top"/>
    </xf>
    <xf numFmtId="10" fontId="3" fillId="8" borderId="0" xfId="0" applyNumberFormat="1" applyFont="1" applyFill="1" applyAlignment="1">
      <alignment vertical="top"/>
    </xf>
    <xf numFmtId="10" fontId="3" fillId="8" borderId="0" xfId="2" applyNumberFormat="1" applyFont="1" applyFill="1" applyAlignment="1">
      <alignment vertical="top"/>
    </xf>
    <xf numFmtId="10" fontId="3" fillId="7" borderId="0" xfId="2" quotePrefix="1" applyNumberFormat="1" applyFont="1" applyFill="1" applyAlignment="1">
      <alignment vertical="top"/>
    </xf>
    <xf numFmtId="168" fontId="3" fillId="3" borderId="0" xfId="1" applyNumberFormat="1" applyFont="1" applyFill="1" applyAlignment="1">
      <alignment vertical="top"/>
    </xf>
    <xf numFmtId="6" fontId="4" fillId="0" borderId="0" xfId="0" applyNumberFormat="1" applyFont="1" applyFill="1" applyAlignment="1">
      <alignment vertical="top"/>
    </xf>
    <xf numFmtId="8" fontId="4" fillId="0" borderId="0" xfId="0" applyNumberFormat="1" applyFont="1" applyFill="1" applyAlignment="1">
      <alignment vertical="top"/>
    </xf>
    <xf numFmtId="43" fontId="4" fillId="0" borderId="0" xfId="0" applyNumberFormat="1" applyFont="1" applyFill="1" applyAlignment="1">
      <alignment vertical="top"/>
    </xf>
    <xf numFmtId="9" fontId="4" fillId="0" borderId="0" xfId="2" applyFont="1" applyFill="1" applyAlignment="1">
      <alignment vertical="top"/>
    </xf>
    <xf numFmtId="170" fontId="4" fillId="0" borderId="0" xfId="2" applyNumberFormat="1" applyFont="1" applyFill="1" applyAlignment="1">
      <alignment vertical="top"/>
    </xf>
    <xf numFmtId="0" fontId="3" fillId="9" borderId="0" xfId="0" applyFont="1" applyFill="1" applyAlignment="1">
      <alignment horizontal="centerContinuous" wrapText="1"/>
    </xf>
    <xf numFmtId="0" fontId="3" fillId="10" borderId="0" xfId="0" applyFont="1" applyFill="1" applyAlignment="1">
      <alignment horizontal="centerContinuous" wrapText="1"/>
    </xf>
    <xf numFmtId="0" fontId="3" fillId="8" borderId="0" xfId="0" applyFont="1" applyFill="1" applyAlignment="1">
      <alignment horizontal="centerContinuous" wrapText="1"/>
    </xf>
    <xf numFmtId="0" fontId="3" fillId="2" borderId="0" xfId="0" applyFont="1" applyFill="1" applyAlignment="1">
      <alignment horizontal="centerContinuous" wrapText="1"/>
    </xf>
    <xf numFmtId="0" fontId="3" fillId="0" borderId="1" xfId="0" quotePrefix="1" applyFont="1" applyFill="1" applyBorder="1" applyAlignment="1">
      <alignment horizontal="right" wrapText="1"/>
    </xf>
    <xf numFmtId="0" fontId="3" fillId="0" borderId="0" xfId="0" applyFont="1" applyFill="1" applyAlignment="1">
      <alignment vertical="top"/>
    </xf>
    <xf numFmtId="0" fontId="4" fillId="0" borderId="0" xfId="0" quotePrefix="1" applyFont="1" applyFill="1" applyAlignment="1">
      <alignment vertical="top"/>
    </xf>
    <xf numFmtId="0" fontId="3" fillId="0" borderId="0" xfId="0" quotePrefix="1" applyFont="1" applyFill="1" applyAlignment="1">
      <alignment horizontal="right" vertical="top"/>
    </xf>
    <xf numFmtId="168" fontId="3" fillId="11" borderId="0" xfId="0" applyNumberFormat="1" applyFont="1" applyFill="1" applyAlignment="1">
      <alignment vertical="top"/>
    </xf>
    <xf numFmtId="6" fontId="4" fillId="11" borderId="0" xfId="0" applyNumberFormat="1" applyFont="1" applyFill="1" applyAlignment="1">
      <alignment vertical="top"/>
    </xf>
    <xf numFmtId="8" fontId="4" fillId="11" borderId="0" xfId="0" applyNumberFormat="1" applyFont="1" applyFill="1" applyAlignment="1">
      <alignment vertical="top"/>
    </xf>
    <xf numFmtId="165" fontId="4" fillId="11" borderId="0" xfId="2" applyNumberFormat="1" applyFont="1" applyFill="1" applyAlignment="1">
      <alignment vertical="top"/>
    </xf>
    <xf numFmtId="170" fontId="4" fillId="11" borderId="0" xfId="2" applyNumberFormat="1" applyFont="1" applyFill="1" applyAlignment="1">
      <alignment vertical="top"/>
    </xf>
    <xf numFmtId="172" fontId="3" fillId="0" borderId="0" xfId="0" applyNumberFormat="1" applyFont="1" applyFill="1" applyAlignment="1">
      <alignment vertical="top"/>
    </xf>
    <xf numFmtId="172" fontId="3" fillId="11" borderId="0" xfId="0" applyNumberFormat="1" applyFont="1" applyFill="1" applyAlignment="1">
      <alignment vertical="top"/>
    </xf>
    <xf numFmtId="6" fontId="3" fillId="3" borderId="0" xfId="0" applyNumberFormat="1" applyFont="1" applyFill="1" applyAlignment="1">
      <alignment vertical="top"/>
    </xf>
    <xf numFmtId="6" fontId="4" fillId="0" borderId="1" xfId="0" applyNumberFormat="1" applyFont="1" applyFill="1" applyBorder="1" applyAlignment="1">
      <alignment horizontal="right" vertical="top"/>
    </xf>
    <xf numFmtId="0" fontId="9" fillId="0" borderId="0" xfId="0" applyFont="1"/>
    <xf numFmtId="0" fontId="10" fillId="0" borderId="0" xfId="0" applyFont="1"/>
    <xf numFmtId="0" fontId="8" fillId="0" borderId="0" xfId="17" quotePrefix="1"/>
    <xf numFmtId="0" fontId="3" fillId="12" borderId="0" xfId="0" applyFont="1" applyFill="1" applyAlignment="1">
      <alignment horizontal="left" vertical="top"/>
    </xf>
    <xf numFmtId="0" fontId="3" fillId="12" borderId="0" xfId="0" applyFont="1" applyFill="1" applyAlignment="1">
      <alignment vertical="top"/>
    </xf>
    <xf numFmtId="10" fontId="3" fillId="12" borderId="0" xfId="2" applyNumberFormat="1" applyFont="1" applyFill="1" applyAlignment="1">
      <alignment vertical="top"/>
    </xf>
    <xf numFmtId="9" fontId="3" fillId="12" borderId="0" xfId="2" applyNumberFormat="1" applyFont="1" applyFill="1" applyAlignment="1">
      <alignment horizontal="right" vertical="top"/>
    </xf>
    <xf numFmtId="168" fontId="3" fillId="12" borderId="0" xfId="1" applyNumberFormat="1" applyFont="1" applyFill="1" applyAlignment="1">
      <alignment vertical="top"/>
    </xf>
    <xf numFmtId="0" fontId="12" fillId="0" borderId="0" xfId="0" applyFont="1" applyFill="1" applyAlignment="1">
      <alignment horizontal="right" vertical="top"/>
    </xf>
    <xf numFmtId="0" fontId="13" fillId="0" borderId="0" xfId="0" applyFont="1"/>
    <xf numFmtId="0" fontId="3" fillId="9" borderId="0" xfId="0" applyFont="1" applyFill="1" applyAlignment="1">
      <alignment horizontal="left" vertical="top"/>
    </xf>
    <xf numFmtId="0" fontId="4" fillId="9" borderId="0" xfId="0" applyFont="1" applyFill="1" applyAlignment="1">
      <alignment horizontal="left" vertical="top"/>
    </xf>
    <xf numFmtId="0" fontId="4" fillId="9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3" fillId="10" borderId="1" xfId="0" applyFont="1" applyFill="1" applyBorder="1" applyAlignment="1">
      <alignment horizontal="centerContinuous" vertical="top"/>
    </xf>
    <xf numFmtId="0" fontId="3" fillId="10" borderId="0" xfId="0" applyFont="1" applyFill="1" applyBorder="1" applyAlignment="1">
      <alignment horizontal="centerContinuous" vertical="top"/>
    </xf>
    <xf numFmtId="0" fontId="3" fillId="10" borderId="0" xfId="0" applyFont="1" applyFill="1" applyAlignment="1">
      <alignment horizontal="right" vertical="top"/>
    </xf>
    <xf numFmtId="0" fontId="5" fillId="10" borderId="0" xfId="0" applyFont="1" applyFill="1" applyAlignment="1">
      <alignment horizontal="right" vertical="top"/>
    </xf>
    <xf numFmtId="0" fontId="3" fillId="10" borderId="0" xfId="0" applyFont="1" applyFill="1" applyAlignment="1">
      <alignment horizontal="right" wrapText="1"/>
    </xf>
    <xf numFmtId="0" fontId="3" fillId="10" borderId="1" xfId="0" applyFont="1" applyFill="1" applyBorder="1" applyAlignment="1">
      <alignment horizontal="right" vertical="top"/>
    </xf>
    <xf numFmtId="0" fontId="5" fillId="10" borderId="1" xfId="0" applyFont="1" applyFill="1" applyBorder="1" applyAlignment="1">
      <alignment horizontal="right" vertical="top"/>
    </xf>
    <xf numFmtId="0" fontId="3" fillId="10" borderId="1" xfId="0" applyFont="1" applyFill="1" applyBorder="1" applyAlignment="1">
      <alignment horizontal="right" wrapText="1"/>
    </xf>
    <xf numFmtId="9" fontId="3" fillId="12" borderId="0" xfId="0" applyNumberFormat="1" applyFont="1" applyFill="1" applyAlignment="1">
      <alignment vertical="top"/>
    </xf>
    <xf numFmtId="164" fontId="3" fillId="0" borderId="0" xfId="0" applyNumberFormat="1" applyFont="1" applyFill="1" applyAlignment="1">
      <alignment horizontal="right" vertical="top"/>
    </xf>
    <xf numFmtId="0" fontId="3" fillId="10" borderId="1" xfId="0" applyFont="1" applyFill="1" applyBorder="1" applyAlignment="1">
      <alignment horizontal="left" vertical="top"/>
    </xf>
    <xf numFmtId="6" fontId="3" fillId="10" borderId="1" xfId="0" applyNumberFormat="1" applyFont="1" applyFill="1" applyBorder="1" applyAlignment="1">
      <alignment horizontal="right" vertical="top"/>
    </xf>
    <xf numFmtId="164" fontId="3" fillId="13" borderId="0" xfId="0" applyNumberFormat="1" applyFont="1" applyFill="1" applyAlignment="1">
      <alignment horizontal="right" vertical="top"/>
    </xf>
    <xf numFmtId="10" fontId="4" fillId="13" borderId="0" xfId="2" applyNumberFormat="1" applyFont="1" applyFill="1" applyAlignment="1">
      <alignment vertical="top"/>
    </xf>
    <xf numFmtId="9" fontId="3" fillId="0" borderId="0" xfId="0" applyNumberFormat="1" applyFont="1" applyFill="1" applyAlignment="1">
      <alignment vertical="top"/>
    </xf>
    <xf numFmtId="168" fontId="3" fillId="4" borderId="0" xfId="1" applyNumberFormat="1" applyFont="1" applyFill="1" applyAlignment="1">
      <alignment vertical="top"/>
    </xf>
    <xf numFmtId="173" fontId="4" fillId="0" borderId="0" xfId="0" applyNumberFormat="1" applyFont="1" applyFill="1" applyAlignment="1">
      <alignment vertical="top"/>
    </xf>
    <xf numFmtId="10" fontId="4" fillId="12" borderId="0" xfId="2" applyNumberFormat="1" applyFont="1" applyFill="1" applyAlignment="1">
      <alignment vertical="top"/>
    </xf>
    <xf numFmtId="10" fontId="4" fillId="12" borderId="0" xfId="2" applyNumberFormat="1" applyFont="1" applyFill="1" applyAlignment="1">
      <alignment horizontal="right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170" fontId="4" fillId="0" borderId="0" xfId="0" applyNumberFormat="1" applyFont="1" applyAlignment="1">
      <alignment vertical="top"/>
    </xf>
    <xf numFmtId="0" fontId="12" fillId="0" borderId="0" xfId="0" applyFont="1" applyAlignment="1">
      <alignment horizontal="right" vertical="top"/>
    </xf>
    <xf numFmtId="6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9" fontId="6" fillId="0" borderId="0" xfId="2" applyFont="1" applyFill="1" applyAlignment="1">
      <alignment horizontal="right" vertical="top"/>
    </xf>
    <xf numFmtId="9" fontId="4" fillId="0" borderId="0" xfId="2" applyFont="1" applyFill="1" applyAlignment="1">
      <alignment horizontal="right" vertical="top"/>
    </xf>
    <xf numFmtId="164" fontId="4" fillId="0" borderId="0" xfId="0" applyNumberFormat="1" applyFont="1" applyAlignment="1">
      <alignment horizontal="left" vertical="top"/>
    </xf>
    <xf numFmtId="0" fontId="4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164" fontId="4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9" fontId="3" fillId="12" borderId="0" xfId="2" applyFont="1" applyFill="1" applyAlignment="1">
      <alignment horizontal="right" vertical="top"/>
    </xf>
    <xf numFmtId="0" fontId="3" fillId="10" borderId="0" xfId="0" applyFont="1" applyFill="1" applyAlignment="1">
      <alignment horizontal="centerContinuous" vertical="top"/>
    </xf>
    <xf numFmtId="171" fontId="4" fillId="0" borderId="0" xfId="0" applyNumberFormat="1" applyFont="1" applyAlignment="1">
      <alignment vertical="top"/>
    </xf>
    <xf numFmtId="10" fontId="4" fillId="0" borderId="0" xfId="0" applyNumberFormat="1" applyFont="1" applyAlignment="1">
      <alignment vertical="top"/>
    </xf>
    <xf numFmtId="9" fontId="4" fillId="0" borderId="0" xfId="0" applyNumberFormat="1" applyFont="1" applyAlignment="1">
      <alignment vertical="top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6" fontId="3" fillId="0" borderId="1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/>
    </xf>
    <xf numFmtId="0" fontId="14" fillId="0" borderId="0" xfId="0" applyFont="1"/>
    <xf numFmtId="170" fontId="15" fillId="0" borderId="0" xfId="0" applyNumberFormat="1" applyFont="1"/>
    <xf numFmtId="170" fontId="14" fillId="0" borderId="0" xfId="0" applyNumberFormat="1" applyFont="1"/>
    <xf numFmtId="10" fontId="14" fillId="0" borderId="0" xfId="2" applyNumberFormat="1" applyFont="1"/>
    <xf numFmtId="168" fontId="14" fillId="0" borderId="0" xfId="1" applyNumberFormat="1" applyFont="1"/>
    <xf numFmtId="164" fontId="14" fillId="0" borderId="0" xfId="1" applyNumberFormat="1" applyFont="1"/>
    <xf numFmtId="0" fontId="16" fillId="0" borderId="0" xfId="0" applyFont="1"/>
    <xf numFmtId="165" fontId="16" fillId="0" borderId="0" xfId="2" applyNumberFormat="1" applyFont="1"/>
    <xf numFmtId="165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/>
    </xf>
    <xf numFmtId="164" fontId="14" fillId="0" borderId="0" xfId="0" applyNumberFormat="1" applyFont="1"/>
    <xf numFmtId="174" fontId="16" fillId="0" borderId="0" xfId="0" applyNumberFormat="1" applyFont="1"/>
    <xf numFmtId="165" fontId="16" fillId="0" borderId="0" xfId="0" applyNumberFormat="1" applyFont="1"/>
    <xf numFmtId="0" fontId="14" fillId="0" borderId="0" xfId="0" applyFont="1" applyAlignment="1">
      <alignment horizontal="right"/>
    </xf>
    <xf numFmtId="0" fontId="16" fillId="6" borderId="1" xfId="0" applyFont="1" applyFill="1" applyBorder="1" applyAlignment="1">
      <alignment horizontal="right"/>
    </xf>
    <xf numFmtId="0" fontId="16" fillId="6" borderId="0" xfId="0" applyFont="1" applyFill="1" applyAlignment="1">
      <alignment horizontal="right"/>
    </xf>
    <xf numFmtId="9" fontId="14" fillId="0" borderId="0" xfId="0" applyNumberFormat="1" applyFont="1"/>
    <xf numFmtId="0" fontId="14" fillId="6" borderId="0" xfId="0" applyFont="1" applyFill="1"/>
    <xf numFmtId="9" fontId="14" fillId="14" borderId="0" xfId="0" applyNumberFormat="1" applyFont="1" applyFill="1"/>
    <xf numFmtId="0" fontId="16" fillId="14" borderId="0" xfId="0" applyFont="1" applyFill="1" applyAlignment="1">
      <alignment horizontal="left"/>
    </xf>
    <xf numFmtId="165" fontId="16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9" fontId="14" fillId="0" borderId="0" xfId="2" applyFont="1"/>
    <xf numFmtId="165" fontId="14" fillId="0" borderId="0" xfId="0" applyNumberFormat="1" applyFont="1" applyAlignment="1">
      <alignment horizontal="right"/>
    </xf>
    <xf numFmtId="174" fontId="14" fillId="0" borderId="0" xfId="0" applyNumberFormat="1" applyFont="1"/>
    <xf numFmtId="165" fontId="14" fillId="0" borderId="0" xfId="0" applyNumberFormat="1" applyFont="1"/>
    <xf numFmtId="0" fontId="16" fillId="0" borderId="1" xfId="0" applyFont="1" applyBorder="1" applyAlignment="1">
      <alignment horizontal="right"/>
    </xf>
    <xf numFmtId="0" fontId="16" fillId="0" borderId="0" xfId="0" applyFont="1" applyAlignment="1">
      <alignment horizontal="right"/>
    </xf>
    <xf numFmtId="10" fontId="14" fillId="0" borderId="0" xfId="0" applyNumberFormat="1" applyFont="1"/>
    <xf numFmtId="10" fontId="0" fillId="0" borderId="0" xfId="0" applyNumberFormat="1"/>
    <xf numFmtId="168" fontId="0" fillId="0" borderId="0" xfId="1" applyNumberFormat="1" applyFont="1"/>
    <xf numFmtId="43" fontId="0" fillId="0" borderId="0" xfId="1" applyFont="1"/>
    <xf numFmtId="165" fontId="17" fillId="0" borderId="0" xfId="0" applyNumberFormat="1" applyFont="1"/>
    <xf numFmtId="0" fontId="17" fillId="0" borderId="0" xfId="0" applyFont="1"/>
    <xf numFmtId="9" fontId="0" fillId="0" borderId="0" xfId="2" applyFont="1"/>
    <xf numFmtId="2" fontId="17" fillId="0" borderId="0" xfId="0" applyNumberFormat="1" applyFont="1"/>
    <xf numFmtId="165" fontId="0" fillId="0" borderId="0" xfId="2" applyNumberFormat="1" applyFont="1"/>
    <xf numFmtId="165" fontId="0" fillId="0" borderId="0" xfId="0" applyNumberFormat="1"/>
    <xf numFmtId="10" fontId="0" fillId="0" borderId="0" xfId="2" applyNumberFormat="1" applyFont="1"/>
    <xf numFmtId="168" fontId="0" fillId="0" borderId="0" xfId="0" applyNumberFormat="1"/>
    <xf numFmtId="166" fontId="0" fillId="0" borderId="0" xfId="1" applyNumberFormat="1" applyFont="1"/>
    <xf numFmtId="0" fontId="0" fillId="0" borderId="0" xfId="0" applyAlignment="1">
      <alignment horizontal="right"/>
    </xf>
    <xf numFmtId="10" fontId="17" fillId="0" borderId="0" xfId="0" applyNumberFormat="1" applyFont="1"/>
    <xf numFmtId="0" fontId="0" fillId="3" borderId="0" xfId="0" applyFill="1"/>
    <xf numFmtId="168" fontId="4" fillId="0" borderId="0" xfId="1" quotePrefix="1" applyNumberFormat="1" applyFont="1" applyFill="1" applyAlignment="1">
      <alignment vertical="top"/>
    </xf>
    <xf numFmtId="0" fontId="3" fillId="2" borderId="1" xfId="0" applyFont="1" applyFill="1" applyBorder="1" applyAlignment="1">
      <alignment horizontal="centerContinuous" vertical="top"/>
    </xf>
    <xf numFmtId="0" fontId="3" fillId="0" borderId="0" xfId="0" applyFont="1" applyAlignment="1">
      <alignment horizontal="centerContinuous" vertical="top"/>
    </xf>
    <xf numFmtId="0" fontId="3" fillId="0" borderId="1" xfId="0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18" fillId="0" borderId="2" xfId="0" applyFont="1" applyBorder="1" applyAlignment="1">
      <alignment horizontal="right" vertical="top"/>
    </xf>
    <xf numFmtId="165" fontId="4" fillId="0" borderId="0" xfId="0" applyNumberFormat="1" applyFont="1" applyAlignment="1">
      <alignment vertical="top"/>
    </xf>
    <xf numFmtId="9" fontId="4" fillId="0" borderId="0" xfId="0" applyNumberFormat="1" applyFont="1" applyAlignment="1">
      <alignment horizontal="right" vertical="top"/>
    </xf>
    <xf numFmtId="10" fontId="4" fillId="10" borderId="0" xfId="0" applyNumberFormat="1" applyFont="1" applyFill="1" applyAlignment="1">
      <alignment vertical="top"/>
    </xf>
    <xf numFmtId="10" fontId="4" fillId="10" borderId="0" xfId="2" applyNumberFormat="1" applyFont="1" applyFill="1" applyAlignment="1">
      <alignment vertical="top"/>
    </xf>
    <xf numFmtId="166" fontId="4" fillId="0" borderId="0" xfId="1" quotePrefix="1" applyNumberFormat="1" applyFont="1" applyFill="1" applyAlignment="1">
      <alignment vertical="top"/>
    </xf>
    <xf numFmtId="43" fontId="4" fillId="0" borderId="0" xfId="0" applyNumberFormat="1" applyFont="1" applyAlignment="1">
      <alignment vertical="top"/>
    </xf>
    <xf numFmtId="165" fontId="4" fillId="0" borderId="0" xfId="2" applyNumberFormat="1" applyFont="1" applyAlignment="1">
      <alignment vertical="top"/>
    </xf>
    <xf numFmtId="165" fontId="3" fillId="15" borderId="0" xfId="0" applyNumberFormat="1" applyFont="1" applyFill="1" applyAlignment="1">
      <alignment vertical="top"/>
    </xf>
    <xf numFmtId="9" fontId="3" fillId="15" borderId="0" xfId="0" applyNumberFormat="1" applyFont="1" applyFill="1" applyAlignment="1">
      <alignment horizontal="right" vertical="top"/>
    </xf>
    <xf numFmtId="10" fontId="3" fillId="16" borderId="0" xfId="0" applyNumberFormat="1" applyFont="1" applyFill="1" applyAlignment="1">
      <alignment vertical="top"/>
    </xf>
    <xf numFmtId="165" fontId="3" fillId="16" borderId="0" xfId="0" applyNumberFormat="1" applyFont="1" applyFill="1" applyAlignment="1">
      <alignment vertical="top"/>
    </xf>
    <xf numFmtId="165" fontId="3" fillId="0" borderId="0" xfId="0" applyNumberFormat="1" applyFont="1" applyAlignment="1">
      <alignment vertical="top"/>
    </xf>
    <xf numFmtId="165" fontId="3" fillId="16" borderId="0" xfId="2" applyNumberFormat="1" applyFont="1" applyFill="1" applyAlignment="1">
      <alignment vertical="top"/>
    </xf>
    <xf numFmtId="9" fontId="3" fillId="0" borderId="0" xfId="0" applyNumberFormat="1" applyFont="1" applyAlignment="1">
      <alignment horizontal="right" vertical="top"/>
    </xf>
    <xf numFmtId="10" fontId="3" fillId="10" borderId="0" xfId="0" applyNumberFormat="1" applyFont="1" applyFill="1" applyAlignment="1">
      <alignment vertical="top"/>
    </xf>
    <xf numFmtId="165" fontId="3" fillId="0" borderId="0" xfId="2" applyNumberFormat="1" applyFont="1" applyFill="1" applyAlignment="1">
      <alignment vertical="top"/>
    </xf>
    <xf numFmtId="10" fontId="3" fillId="10" borderId="0" xfId="2" applyNumberFormat="1" applyFont="1" applyFill="1" applyAlignment="1">
      <alignment vertical="top"/>
    </xf>
    <xf numFmtId="0" fontId="3" fillId="0" borderId="1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9" fontId="4" fillId="17" borderId="3" xfId="0" applyNumberFormat="1" applyFont="1" applyFill="1" applyBorder="1" applyAlignment="1">
      <alignment vertical="top"/>
    </xf>
    <xf numFmtId="165" fontId="4" fillId="0" borderId="3" xfId="2" applyNumberFormat="1" applyFont="1" applyBorder="1" applyAlignment="1">
      <alignment vertical="top"/>
    </xf>
    <xf numFmtId="43" fontId="4" fillId="0" borderId="3" xfId="1" applyFont="1" applyBorder="1" applyAlignment="1">
      <alignment vertical="top"/>
    </xf>
    <xf numFmtId="0" fontId="19" fillId="0" borderId="0" xfId="0" applyFont="1" applyAlignment="1">
      <alignment horizontal="right" vertical="top"/>
    </xf>
    <xf numFmtId="165" fontId="19" fillId="0" borderId="0" xfId="2" applyNumberFormat="1" applyFont="1" applyBorder="1" applyAlignment="1">
      <alignment vertical="top"/>
    </xf>
    <xf numFmtId="165" fontId="4" fillId="0" borderId="0" xfId="2" applyNumberFormat="1" applyFont="1" applyBorder="1" applyAlignment="1">
      <alignment vertical="top"/>
    </xf>
    <xf numFmtId="43" fontId="4" fillId="0" borderId="0" xfId="1" applyFont="1" applyBorder="1" applyAlignment="1">
      <alignment vertical="top"/>
    </xf>
    <xf numFmtId="43" fontId="4" fillId="0" borderId="0" xfId="1" applyFont="1" applyAlignment="1">
      <alignment vertical="top"/>
    </xf>
    <xf numFmtId="165" fontId="19" fillId="0" borderId="0" xfId="2" applyNumberFormat="1" applyFont="1" applyAlignment="1">
      <alignment vertical="top"/>
    </xf>
    <xf numFmtId="10" fontId="3" fillId="16" borderId="0" xfId="2" applyNumberFormat="1" applyFont="1" applyFill="1" applyAlignment="1">
      <alignment vertical="top"/>
    </xf>
    <xf numFmtId="0" fontId="8" fillId="0" borderId="0" xfId="17" applyAlignment="1">
      <alignment horizontal="left" vertical="top"/>
    </xf>
    <xf numFmtId="0" fontId="8" fillId="6" borderId="0" xfId="17" applyFill="1" applyAlignment="1">
      <alignment horizontal="left" vertical="top"/>
    </xf>
    <xf numFmtId="0" fontId="4" fillId="6" borderId="0" xfId="0" applyFont="1" applyFill="1" applyAlignment="1">
      <alignment vertical="top"/>
    </xf>
    <xf numFmtId="0" fontId="3" fillId="4" borderId="0" xfId="0" applyFont="1" applyFill="1" applyAlignment="1">
      <alignment horizontal="left" vertical="top"/>
    </xf>
    <xf numFmtId="0" fontId="4" fillId="4" borderId="0" xfId="0" applyFont="1" applyFill="1" applyAlignment="1">
      <alignment horizontal="left" vertical="top"/>
    </xf>
  </cellXfs>
  <cellStyles count="18">
    <cellStyle name="Comma" xfId="1" builtinId="3"/>
    <cellStyle name="Comma 2" xfId="3" xr:uid="{00000000-0005-0000-0000-000001000000}"/>
    <cellStyle name="Comma 2 2" xfId="4" xr:uid="{00000000-0005-0000-0000-000002000000}"/>
    <cellStyle name="Comma 3" xfId="5" xr:uid="{00000000-0005-0000-0000-000003000000}"/>
    <cellStyle name="Comma[0]" xfId="6" xr:uid="{00000000-0005-0000-0000-000004000000}"/>
    <cellStyle name="Currency 2" xfId="7" xr:uid="{00000000-0005-0000-0000-000005000000}"/>
    <cellStyle name="Currency[0]" xfId="8" xr:uid="{00000000-0005-0000-0000-000006000000}"/>
    <cellStyle name="Hyperlink" xfId="17" builtinId="8"/>
    <cellStyle name="MRA" xfId="9" xr:uid="{00000000-0005-0000-0000-000008000000}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Percent" xfId="2" builtinId="5"/>
    <cellStyle name="Percent 2" xfId="13" xr:uid="{00000000-0005-0000-0000-00000E000000}"/>
    <cellStyle name="Percent 2 2" xfId="14" xr:uid="{00000000-0005-0000-0000-00000F000000}"/>
    <cellStyle name="Percent 3" xfId="15" xr:uid="{00000000-0005-0000-0000-000010000000}"/>
    <cellStyle name="Percent 4" xfId="16" xr:uid="{00000000-0005-0000-0000-000011000000}"/>
  </cellStyles>
  <dxfs count="0"/>
  <tableStyles count="0" defaultTableStyle="TableStyleMedium2" defaultPivotStyle="PivotStyleLight16"/>
  <colors>
    <mruColors>
      <color rgb="FFFF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Portfolio Possibilities Curve (PPC)</a:t>
            </a:r>
          </a:p>
          <a:p>
            <a:pPr>
              <a:defRPr sz="1200"/>
            </a:pPr>
            <a:r>
              <a:rPr lang="en-US" sz="1200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xVal>
            <c:numRef>
              <c:f>'T1-PPC-MVP'!$I$6:$I$27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'T1-PPC-MVP'!$H$6:$H$27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1F5-4156-B7FA-C8A01AB60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91528"/>
        <c:axId val="497091920"/>
      </c:scatterChart>
      <c:valAx>
        <c:axId val="49709152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920"/>
        <c:crosses val="autoZero"/>
        <c:crossBetween val="midCat"/>
      </c:valAx>
      <c:valAx>
        <c:axId val="497091920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5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Portfolio Possibilities Curve (PPC)</a:t>
            </a:r>
          </a:p>
          <a:p>
            <a:pPr>
              <a:defRPr sz="1200"/>
            </a:pPr>
            <a:r>
              <a:rPr lang="en-US" sz="1200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xVal>
            <c:numRef>
              <c:f>'T1-PPC-MVP_alt2'!$I$6:$I$27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'T1-PPC-MVP_alt2'!$H$6:$H$27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0F6-4C0A-999D-360D4E632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91528"/>
        <c:axId val="497091920"/>
      </c:scatterChart>
      <c:valAx>
        <c:axId val="49709152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920"/>
        <c:crosses val="autoZero"/>
        <c:crossBetween val="midCat"/>
      </c:valAx>
      <c:valAx>
        <c:axId val="497091920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5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PPC with MVP and Market Portfolio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'T1-Market Portfolio'!$I$23:$I$44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'T1-Market Portfolio'!$H$23:$H$44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1C-4997-B39A-1FA06AA45DDB}"/>
            </c:ext>
          </c:extLst>
        </c:ser>
        <c:ser>
          <c:idx val="1"/>
          <c:order val="1"/>
          <c:tx>
            <c:v>Max Sharpe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'T1-Market Portfolio'!$I$14</c:f>
              <c:numCache>
                <c:formatCode>0.0%</c:formatCode>
                <c:ptCount val="1"/>
                <c:pt idx="0">
                  <c:v>0.11675272308219384</c:v>
                </c:pt>
              </c:numCache>
            </c:numRef>
          </c:xVal>
          <c:yVal>
            <c:numRef>
              <c:f>'T1-Market Portfolio'!$H$14</c:f>
              <c:numCache>
                <c:formatCode>0.0%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61C-4997-B39A-1FA06AA45DDB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'T1-Market Portfolio'!$I$11</c:f>
              <c:numCache>
                <c:formatCode>0.00%</c:formatCode>
                <c:ptCount val="1"/>
                <c:pt idx="0">
                  <c:v>9.7872096985918589E-2</c:v>
                </c:pt>
              </c:numCache>
            </c:numRef>
          </c:xVal>
          <c:yVal>
            <c:numRef>
              <c:f>'T1-Market Portfolio'!$H$11</c:f>
              <c:numCache>
                <c:formatCode>0.0%</c:formatCode>
                <c:ptCount val="1"/>
                <c:pt idx="0">
                  <c:v>0.10631578947368421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61C-4997-B39A-1FA06AA45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673611111111111"/>
          <c:y val="0.19867281295720388"/>
          <c:w val="0.34375"/>
          <c:h val="0.2035998441371299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Security Market Line (SML)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280608105804956"/>
          <c:y val="0.1656393944380769"/>
          <c:w val="0.72269775368987965"/>
          <c:h val="0.65004899925897264"/>
        </c:manualLayout>
      </c:layout>
      <c:scatterChart>
        <c:scatterStyle val="smoothMarker"/>
        <c:varyColors val="0"/>
        <c:ser>
          <c:idx val="0"/>
          <c:order val="0"/>
          <c:tx>
            <c:v>SML</c:v>
          </c:tx>
          <c:spPr>
            <a:ln w="38100">
              <a:solidFill>
                <a:schemeClr val="accent1">
                  <a:shade val="95000"/>
                  <a:satMod val="10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94FD-44BC-8C98-6115617DC366}"/>
              </c:ext>
            </c:extLst>
          </c:dPt>
          <c:xVal>
            <c:numRef>
              <c:f>'T1-SML_alt2'!$C$32:$K$32</c:f>
              <c:numCache>
                <c:formatCode>_(* #,##0.000_);_(* \(#,##0.000\);_(* "-"??_);_(@_)</c:formatCode>
                <c:ptCount val="9"/>
                <c:pt idx="0">
                  <c:v>3.3379310344827582</c:v>
                </c:pt>
                <c:pt idx="1">
                  <c:v>2.8827586206896547</c:v>
                </c:pt>
                <c:pt idx="2">
                  <c:v>2.4275862068965517</c:v>
                </c:pt>
                <c:pt idx="3">
                  <c:v>1.9724137931034482</c:v>
                </c:pt>
                <c:pt idx="4">
                  <c:v>1.5172413793103448</c:v>
                </c:pt>
                <c:pt idx="5">
                  <c:v>1.0620689655172415</c:v>
                </c:pt>
                <c:pt idx="6">
                  <c:v>0.60689655172413814</c:v>
                </c:pt>
                <c:pt idx="7">
                  <c:v>0.15172413793103479</c:v>
                </c:pt>
                <c:pt idx="8">
                  <c:v>-0.30344827586206857</c:v>
                </c:pt>
              </c:numCache>
            </c:numRef>
          </c:xVal>
          <c:yVal>
            <c:numRef>
              <c:f>'T1-SML_alt2'!$C$33:$K$33</c:f>
              <c:numCache>
                <c:formatCode>0.0%</c:formatCode>
                <c:ptCount val="9"/>
                <c:pt idx="0">
                  <c:v>0.28000000000000003</c:v>
                </c:pt>
                <c:pt idx="1">
                  <c:v>0.25</c:v>
                </c:pt>
                <c:pt idx="2">
                  <c:v>0.22000000000000003</c:v>
                </c:pt>
                <c:pt idx="3">
                  <c:v>0.19</c:v>
                </c:pt>
                <c:pt idx="4">
                  <c:v>0.16</c:v>
                </c:pt>
                <c:pt idx="5">
                  <c:v>0.13</c:v>
                </c:pt>
                <c:pt idx="6">
                  <c:v>0.10000000000000002</c:v>
                </c:pt>
                <c:pt idx="7">
                  <c:v>7.0000000000000021E-2</c:v>
                </c:pt>
                <c:pt idx="8">
                  <c:v>4.0000000000000022E-2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FD-44BC-8C98-6115617DC366}"/>
            </c:ext>
          </c:extLst>
        </c:ser>
        <c:ser>
          <c:idx val="1"/>
          <c:order val="1"/>
          <c:tx>
            <c:v>Market</c:v>
          </c:tx>
          <c:marker>
            <c:symbol val="circle"/>
            <c:size val="12"/>
            <c:spPr>
              <a:solidFill>
                <a:srgbClr val="C00000"/>
              </a:solidFill>
            </c:spPr>
          </c:marker>
          <c:xVal>
            <c:numRef>
              <c:f>'T1-SML_alt2'!$M$32</c:f>
              <c:numCache>
                <c:formatCode>_(* #,##0.000_);_(* \(#,##0.000\);_(* "-"??_);_(@_)</c:formatCode>
                <c:ptCount val="1"/>
                <c:pt idx="0">
                  <c:v>1</c:v>
                </c:pt>
              </c:numCache>
            </c:numRef>
          </c:xVal>
          <c:yVal>
            <c:numRef>
              <c:f>'T1-SML_alt2'!$M$33</c:f>
              <c:numCache>
                <c:formatCode>0.0%</c:formatCode>
                <c:ptCount val="1"/>
                <c:pt idx="0">
                  <c:v>0.12590909090909091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FD-44BC-8C98-6115617DC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683920"/>
        <c:axId val="604149720"/>
      </c:scatterChart>
      <c:valAx>
        <c:axId val="738683920"/>
        <c:scaling>
          <c:orientation val="minMax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Beta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149720"/>
        <c:crosses val="autoZero"/>
        <c:crossBetween val="midCat"/>
      </c:valAx>
      <c:valAx>
        <c:axId val="604149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738683920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Portfolio Possibilities Curve</a:t>
            </a:r>
          </a:p>
          <a:p>
            <a:pPr>
              <a:defRPr/>
            </a:pPr>
            <a:r>
              <a:rPr lang="en-US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'T1-Market Portfolio'!$I$23:$I$44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'T1-Market Portfolio'!$H$23:$H$44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39-4B7A-B06E-6C705F8417B7}"/>
            </c:ext>
          </c:extLst>
        </c:ser>
        <c:ser>
          <c:idx val="1"/>
          <c:order val="1"/>
          <c:tx>
            <c:v>Max Sharpe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'T1-Market Portfolio'!$I$14</c:f>
              <c:numCache>
                <c:formatCode>0.0%</c:formatCode>
                <c:ptCount val="1"/>
                <c:pt idx="0">
                  <c:v>0.11675272308219384</c:v>
                </c:pt>
              </c:numCache>
            </c:numRef>
          </c:xVal>
          <c:yVal>
            <c:numRef>
              <c:f>'T1-Market Portfolio'!$H$14</c:f>
              <c:numCache>
                <c:formatCode>0.0%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39-4B7A-B06E-6C705F8417B7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'T1-Market Portfolio'!$I$11</c:f>
              <c:numCache>
                <c:formatCode>0.00%</c:formatCode>
                <c:ptCount val="1"/>
                <c:pt idx="0">
                  <c:v>9.7872096985918589E-2</c:v>
                </c:pt>
              </c:numCache>
            </c:numRef>
          </c:xVal>
          <c:yVal>
            <c:numRef>
              <c:f>'T1-Market Portfolio'!$H$11</c:f>
              <c:numCache>
                <c:formatCode>0.0%</c:formatCode>
                <c:ptCount val="1"/>
                <c:pt idx="0">
                  <c:v>0.10631578947368421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939-4B7A-B06E-6C705F841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673611111111111"/>
          <c:y val="0.19867281295720388"/>
          <c:w val="0.34375"/>
          <c:h val="0.2035998441371299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Portfolio Possibilities Curve</a:t>
            </a:r>
          </a:p>
          <a:p>
            <a:pPr>
              <a:defRPr/>
            </a:pPr>
            <a:r>
              <a:rPr lang="en-US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'BT p1-t2-305-1'!$I$23:$I$44</c:f>
              <c:numCache>
                <c:formatCode>0.0%</c:formatCode>
                <c:ptCount val="22"/>
                <c:pt idx="0">
                  <c:v>0.41109609582188927</c:v>
                </c:pt>
                <c:pt idx="1">
                  <c:v>0.38874155939389859</c:v>
                </c:pt>
                <c:pt idx="2">
                  <c:v>0.36644235563045929</c:v>
                </c:pt>
                <c:pt idx="3">
                  <c:v>0.34420923869065456</c:v>
                </c:pt>
                <c:pt idx="4">
                  <c:v>0.32205589576966293</c:v>
                </c:pt>
                <c:pt idx="5">
                  <c:v>0.3</c:v>
                </c:pt>
                <c:pt idx="6">
                  <c:v>0.27806474066303338</c:v>
                </c:pt>
                <c:pt idx="7">
                  <c:v>0.25628109567426155</c:v>
                </c:pt>
                <c:pt idx="8">
                  <c:v>0.23469128658729532</c:v>
                </c:pt>
                <c:pt idx="9">
                  <c:v>0.2133541656495134</c:v>
                </c:pt>
                <c:pt idx="10">
                  <c:v>0.19235384061671346</c:v>
                </c:pt>
                <c:pt idx="11">
                  <c:v>0.17181385275931624</c:v>
                </c:pt>
                <c:pt idx="12">
                  <c:v>0.15192103211866356</c:v>
                </c:pt>
                <c:pt idx="13">
                  <c:v>0.13296616110875731</c:v>
                </c:pt>
                <c:pt idx="14">
                  <c:v>0.1154123043700281</c:v>
                </c:pt>
                <c:pt idx="15">
                  <c:v>0.10000000000000003</c:v>
                </c:pt>
                <c:pt idx="16">
                  <c:v>8.7863530545955221E-2</c:v>
                </c:pt>
                <c:pt idx="17">
                  <c:v>8.0498447189992453E-2</c:v>
                </c:pt>
                <c:pt idx="18">
                  <c:v>7.9246451024635831E-2</c:v>
                </c:pt>
                <c:pt idx="19">
                  <c:v>8.4380092438915949E-2</c:v>
                </c:pt>
                <c:pt idx="20">
                  <c:v>9.4868329805051416E-2</c:v>
                </c:pt>
                <c:pt idx="21">
                  <c:v>0.10917875251164955</c:v>
                </c:pt>
              </c:numCache>
            </c:numRef>
          </c:xVal>
          <c:yVal>
            <c:numRef>
              <c:f>'BT p1-t2-305-1'!$H$23:$H$44</c:f>
              <c:numCache>
                <c:formatCode>0.0%</c:formatCode>
                <c:ptCount val="22"/>
                <c:pt idx="0">
                  <c:v>0.25000000000000006</c:v>
                </c:pt>
                <c:pt idx="1">
                  <c:v>0.23999999999999996</c:v>
                </c:pt>
                <c:pt idx="2">
                  <c:v>0.23</c:v>
                </c:pt>
                <c:pt idx="3">
                  <c:v>0.21999999999999997</c:v>
                </c:pt>
                <c:pt idx="4">
                  <c:v>0.21000000000000002</c:v>
                </c:pt>
                <c:pt idx="5">
                  <c:v>0.2</c:v>
                </c:pt>
                <c:pt idx="6">
                  <c:v>0.19000000000000003</c:v>
                </c:pt>
                <c:pt idx="7">
                  <c:v>0.18000000000000005</c:v>
                </c:pt>
                <c:pt idx="8">
                  <c:v>0.16999999999999998</c:v>
                </c:pt>
                <c:pt idx="9">
                  <c:v>0.16</c:v>
                </c:pt>
                <c:pt idx="10">
                  <c:v>0.15000000000000002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0.12000000000000002</c:v>
                </c:pt>
                <c:pt idx="14">
                  <c:v>0.11000000000000001</c:v>
                </c:pt>
                <c:pt idx="15">
                  <c:v>0.10000000000000002</c:v>
                </c:pt>
                <c:pt idx="16">
                  <c:v>9.0000000000000011E-2</c:v>
                </c:pt>
                <c:pt idx="17">
                  <c:v>0.08</c:v>
                </c:pt>
                <c:pt idx="18">
                  <c:v>6.9999999999999993E-2</c:v>
                </c:pt>
                <c:pt idx="19">
                  <c:v>5.9999999999999984E-2</c:v>
                </c:pt>
                <c:pt idx="20">
                  <c:v>4.9999999999999975E-2</c:v>
                </c:pt>
                <c:pt idx="21">
                  <c:v>3.9999999999999966E-2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E46-4DC6-AAC3-ADE4CBDEB66F}"/>
            </c:ext>
          </c:extLst>
        </c:ser>
        <c:ser>
          <c:idx val="1"/>
          <c:order val="1"/>
          <c:tx>
            <c:v>Max Sharpe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'BT p1-t2-305-1'!$I$14</c:f>
              <c:numCache>
                <c:formatCode>0.0%</c:formatCode>
                <c:ptCount val="1"/>
                <c:pt idx="0">
                  <c:v>0.76095459990342917</c:v>
                </c:pt>
              </c:numCache>
            </c:numRef>
          </c:xVal>
          <c:yVal>
            <c:numRef>
              <c:f>'BT p1-t2-305-1'!$H$14</c:f>
              <c:numCache>
                <c:formatCode>0.0%</c:formatCode>
                <c:ptCount val="1"/>
                <c:pt idx="0">
                  <c:v>-0.25882352941176501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E46-4DC6-AAC3-ADE4CBDEB66F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'BT p1-t2-305-1'!$I$11</c:f>
              <c:numCache>
                <c:formatCode>0.00%</c:formatCode>
                <c:ptCount val="1"/>
                <c:pt idx="0">
                  <c:v>7.8935221737632649E-2</c:v>
                </c:pt>
              </c:numCache>
            </c:numRef>
          </c:xVal>
          <c:yVal>
            <c:numRef>
              <c:f>'BT p1-t2-305-1'!$H$11</c:f>
              <c:numCache>
                <c:formatCode>0.0%</c:formatCode>
                <c:ptCount val="1"/>
                <c:pt idx="0">
                  <c:v>7.3076923076923081E-2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E46-4DC6-AAC3-ADE4CBDEB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673611111111111"/>
          <c:y val="0.19867281295720388"/>
          <c:w val="0.34375"/>
          <c:h val="0.2035998441371299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Portfolio Possibilities Curve</a:t>
            </a:r>
          </a:p>
          <a:p>
            <a:pPr>
              <a:defRPr/>
            </a:pPr>
            <a:r>
              <a:rPr lang="en-US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'BT p1-t2-305-1_alt2'!$I$23:$I$44</c:f>
              <c:numCache>
                <c:formatCode>0.0%</c:formatCode>
                <c:ptCount val="22"/>
                <c:pt idx="0">
                  <c:v>0.22945587811167531</c:v>
                </c:pt>
                <c:pt idx="1">
                  <c:v>0.21306337085477642</c:v>
                </c:pt>
                <c:pt idx="2">
                  <c:v>0.19686035659827503</c:v>
                </c:pt>
                <c:pt idx="3">
                  <c:v>0.180897761180176</c:v>
                </c:pt>
                <c:pt idx="4">
                  <c:v>0.16524527224704494</c:v>
                </c:pt>
                <c:pt idx="5">
                  <c:v>0.15</c:v>
                </c:pt>
                <c:pt idx="6">
                  <c:v>0.13529966740535618</c:v>
                </c:pt>
                <c:pt idx="7">
                  <c:v>0.12134249049694011</c:v>
                </c:pt>
                <c:pt idx="8">
                  <c:v>0.1084158659975559</c:v>
                </c:pt>
                <c:pt idx="9">
                  <c:v>9.6932966528421066E-2</c:v>
                </c:pt>
                <c:pt idx="10">
                  <c:v>8.7464278422679509E-2</c:v>
                </c:pt>
                <c:pt idx="11">
                  <c:v>8.0721744282442262E-2</c:v>
                </c:pt>
                <c:pt idx="12">
                  <c:v>7.7420927403383633E-2</c:v>
                </c:pt>
                <c:pt idx="13">
                  <c:v>7.8E-2</c:v>
                </c:pt>
                <c:pt idx="14">
                  <c:v>8.237718130647588E-2</c:v>
                </c:pt>
                <c:pt idx="15">
                  <c:v>8.9999999999999983E-2</c:v>
                </c:pt>
                <c:pt idx="16">
                  <c:v>0.1001299156096718</c:v>
                </c:pt>
                <c:pt idx="17">
                  <c:v>0.11208925015361643</c:v>
                </c:pt>
                <c:pt idx="18">
                  <c:v>0.12535549449465708</c:v>
                </c:pt>
                <c:pt idx="19">
                  <c:v>0.1395564401953561</c:v>
                </c:pt>
                <c:pt idx="20">
                  <c:v>0.15443445211480503</c:v>
                </c:pt>
                <c:pt idx="21">
                  <c:v>0.16981166037701892</c:v>
                </c:pt>
              </c:numCache>
            </c:numRef>
          </c:xVal>
          <c:yVal>
            <c:numRef>
              <c:f>'BT p1-t2-305-1_alt2'!$H$23:$H$44</c:f>
              <c:numCache>
                <c:formatCode>0.0%</c:formatCode>
                <c:ptCount val="22"/>
                <c:pt idx="0">
                  <c:v>0.25000000000000006</c:v>
                </c:pt>
                <c:pt idx="1">
                  <c:v>0.23999999999999996</c:v>
                </c:pt>
                <c:pt idx="2">
                  <c:v>0.23</c:v>
                </c:pt>
                <c:pt idx="3">
                  <c:v>0.21999999999999997</c:v>
                </c:pt>
                <c:pt idx="4">
                  <c:v>0.21000000000000002</c:v>
                </c:pt>
                <c:pt idx="5">
                  <c:v>0.2</c:v>
                </c:pt>
                <c:pt idx="6">
                  <c:v>0.19000000000000003</c:v>
                </c:pt>
                <c:pt idx="7">
                  <c:v>0.18000000000000005</c:v>
                </c:pt>
                <c:pt idx="8">
                  <c:v>0.16999999999999998</c:v>
                </c:pt>
                <c:pt idx="9">
                  <c:v>0.16</c:v>
                </c:pt>
                <c:pt idx="10">
                  <c:v>0.15000000000000002</c:v>
                </c:pt>
                <c:pt idx="11">
                  <c:v>0.14000000000000001</c:v>
                </c:pt>
                <c:pt idx="12">
                  <c:v>0.13</c:v>
                </c:pt>
                <c:pt idx="13">
                  <c:v>0.12000000000000002</c:v>
                </c:pt>
                <c:pt idx="14">
                  <c:v>0.11000000000000001</c:v>
                </c:pt>
                <c:pt idx="15">
                  <c:v>0.10000000000000002</c:v>
                </c:pt>
                <c:pt idx="16">
                  <c:v>9.0000000000000011E-2</c:v>
                </c:pt>
                <c:pt idx="17">
                  <c:v>0.08</c:v>
                </c:pt>
                <c:pt idx="18">
                  <c:v>6.9999999999999993E-2</c:v>
                </c:pt>
                <c:pt idx="19">
                  <c:v>5.9999999999999984E-2</c:v>
                </c:pt>
                <c:pt idx="20">
                  <c:v>4.9999999999999975E-2</c:v>
                </c:pt>
                <c:pt idx="21">
                  <c:v>3.9999999999999966E-2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0AC-4421-9062-44ABEFBFDA15}"/>
            </c:ext>
          </c:extLst>
        </c:ser>
        <c:ser>
          <c:idx val="1"/>
          <c:order val="1"/>
          <c:tx>
            <c:v>Max Sharpe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'BT p1-t2-305-1_alt2'!$I$14</c:f>
              <c:numCache>
                <c:formatCode>0.0%</c:formatCode>
                <c:ptCount val="1"/>
                <c:pt idx="0">
                  <c:v>9.2625955881873501E-2</c:v>
                </c:pt>
              </c:numCache>
            </c:numRef>
          </c:xVal>
          <c:yVal>
            <c:numRef>
              <c:f>'BT p1-t2-305-1_alt2'!$H$14</c:f>
              <c:numCache>
                <c:formatCode>0.0%</c:formatCode>
                <c:ptCount val="1"/>
                <c:pt idx="0">
                  <c:v>0.15575221238938053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0AC-4421-9062-44ABEFBFDA15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'BT p1-t2-305-1_alt2'!$I$11</c:f>
              <c:numCache>
                <c:formatCode>0.00%</c:formatCode>
                <c:ptCount val="1"/>
                <c:pt idx="0">
                  <c:v>7.7174363314128983E-2</c:v>
                </c:pt>
              </c:numCache>
            </c:numRef>
          </c:xVal>
          <c:yVal>
            <c:numRef>
              <c:f>'BT p1-t2-305-1_alt2'!$H$11</c:f>
              <c:numCache>
                <c:formatCode>0.0%</c:formatCode>
                <c:ptCount val="1"/>
                <c:pt idx="0">
                  <c:v>0.12647058823529411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0AC-4421-9062-44ABEFBF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673611111111111"/>
          <c:y val="0.19867281295720388"/>
          <c:w val="0.34375"/>
          <c:h val="0.2035998441371299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PPC with MVP and Market Portfolio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60000"/>
                  <a:lumOff val="40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'T1-Market Portfolio'!$I$23:$I$44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'T1-Market Portfolio'!$H$23:$H$44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0C-4522-BA59-EF01FDFEF8E2}"/>
            </c:ext>
          </c:extLst>
        </c:ser>
        <c:ser>
          <c:idx val="1"/>
          <c:order val="1"/>
          <c:tx>
            <c:v>Max Sharpe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'T1-Market Portfolio'!$I$14</c:f>
              <c:numCache>
                <c:formatCode>0.0%</c:formatCode>
                <c:ptCount val="1"/>
                <c:pt idx="0">
                  <c:v>0.11675272308219384</c:v>
                </c:pt>
              </c:numCache>
            </c:numRef>
          </c:xVal>
          <c:yVal>
            <c:numRef>
              <c:f>'T1-Market Portfolio'!$H$14</c:f>
              <c:numCache>
                <c:formatCode>0.0%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0C-4522-BA59-EF01FDFEF8E2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</c:spPr>
          </c:marker>
          <c:xVal>
            <c:numRef>
              <c:f>'T1-Market Portfolio'!$I$11</c:f>
              <c:numCache>
                <c:formatCode>0.00%</c:formatCode>
                <c:ptCount val="1"/>
                <c:pt idx="0">
                  <c:v>9.7872096985918589E-2</c:v>
                </c:pt>
              </c:numCache>
            </c:numRef>
          </c:xVal>
          <c:yVal>
            <c:numRef>
              <c:f>'T1-Market Portfolio'!$H$11</c:f>
              <c:numCache>
                <c:formatCode>0.0%</c:formatCode>
                <c:ptCount val="1"/>
                <c:pt idx="0">
                  <c:v>0.10631578947368421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C0C-4522-BA59-EF01FDFEF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673611111111111"/>
          <c:y val="0.19867281295720388"/>
          <c:w val="0.34375"/>
          <c:h val="0.20359984413712992"/>
        </c:manualLayout>
      </c:layout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Capital</a:t>
            </a:r>
            <a:r>
              <a:rPr lang="en-US" sz="1200" baseline="0"/>
              <a:t> Market Line (CML)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182977127859022"/>
          <c:y val="0.16345928105632887"/>
          <c:w val="0.71878515185601799"/>
          <c:h val="0.68252838716016095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'T1-PPC-MVP'!$I$6:$I$27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'T1-PPC-MVP'!$H$6:$H$27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4C1-4E86-937B-57A429E2CEB5}"/>
            </c:ext>
          </c:extLst>
        </c:ser>
        <c:ser>
          <c:idx val="1"/>
          <c:order val="1"/>
          <c:tx>
            <c:v>CML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'T1-CML'!$I$10:$I$27</c:f>
              <c:numCache>
                <c:formatCode>0.00%</c:formatCode>
                <c:ptCount val="18"/>
                <c:pt idx="0">
                  <c:v>0</c:v>
                </c:pt>
                <c:pt idx="1">
                  <c:v>1.1675272308219381E-2</c:v>
                </c:pt>
                <c:pt idx="2">
                  <c:v>2.3350544616438762E-2</c:v>
                </c:pt>
                <c:pt idx="3">
                  <c:v>3.5025816924658143E-2</c:v>
                </c:pt>
                <c:pt idx="4">
                  <c:v>4.6701089232877524E-2</c:v>
                </c:pt>
                <c:pt idx="5">
                  <c:v>5.8376361541096905E-2</c:v>
                </c:pt>
                <c:pt idx="6">
                  <c:v>7.0051633849316286E-2</c:v>
                </c:pt>
                <c:pt idx="7">
                  <c:v>8.1726906157535667E-2</c:v>
                </c:pt>
                <c:pt idx="8">
                  <c:v>9.3402178465755048E-2</c:v>
                </c:pt>
                <c:pt idx="9">
                  <c:v>0.10507745077397444</c:v>
                </c:pt>
                <c:pt idx="10">
                  <c:v>0.11675272308219382</c:v>
                </c:pt>
                <c:pt idx="11">
                  <c:v>0.12842799539041322</c:v>
                </c:pt>
                <c:pt idx="12">
                  <c:v>0.1401032676986326</c:v>
                </c:pt>
                <c:pt idx="13">
                  <c:v>0.15177854000685198</c:v>
                </c:pt>
                <c:pt idx="14">
                  <c:v>0.16345381231507136</c:v>
                </c:pt>
                <c:pt idx="15">
                  <c:v>0.17512908462329074</c:v>
                </c:pt>
                <c:pt idx="16">
                  <c:v>0.18680435693151012</c:v>
                </c:pt>
                <c:pt idx="17">
                  <c:v>0.1984796292397295</c:v>
                </c:pt>
              </c:numCache>
            </c:numRef>
          </c:xVal>
          <c:yVal>
            <c:numRef>
              <c:f>'T1-CML'!$H$10:$H$27</c:f>
              <c:numCache>
                <c:formatCode>0.00%</c:formatCode>
                <c:ptCount val="18"/>
                <c:pt idx="0">
                  <c:v>0.06</c:v>
                </c:pt>
                <c:pt idx="1">
                  <c:v>6.6590909090909089E-2</c:v>
                </c:pt>
                <c:pt idx="2">
                  <c:v>7.3181818181818181E-2</c:v>
                </c:pt>
                <c:pt idx="3">
                  <c:v>7.9772727272727273E-2</c:v>
                </c:pt>
                <c:pt idx="4">
                  <c:v>8.6363636363636365E-2</c:v>
                </c:pt>
                <c:pt idx="5">
                  <c:v>9.2954545454545456E-2</c:v>
                </c:pt>
                <c:pt idx="6">
                  <c:v>9.9545454545454534E-2</c:v>
                </c:pt>
                <c:pt idx="7">
                  <c:v>0.10613636363636364</c:v>
                </c:pt>
                <c:pt idx="8">
                  <c:v>0.11272727272727272</c:v>
                </c:pt>
                <c:pt idx="9">
                  <c:v>0.11931818181818182</c:v>
                </c:pt>
                <c:pt idx="10">
                  <c:v>0.12590909090909089</c:v>
                </c:pt>
                <c:pt idx="11">
                  <c:v>0.13250000000000001</c:v>
                </c:pt>
                <c:pt idx="12">
                  <c:v>0.1390909090909091</c:v>
                </c:pt>
                <c:pt idx="13">
                  <c:v>0.14568181818181819</c:v>
                </c:pt>
                <c:pt idx="14">
                  <c:v>0.15227272727272728</c:v>
                </c:pt>
                <c:pt idx="15">
                  <c:v>0.15886363636363637</c:v>
                </c:pt>
                <c:pt idx="16">
                  <c:v>0.16545454545454547</c:v>
                </c:pt>
                <c:pt idx="17">
                  <c:v>0.17204545454545453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4C1-4E86-937B-57A429E2CEB5}"/>
            </c:ext>
          </c:extLst>
        </c:ser>
        <c:ser>
          <c:idx val="2"/>
          <c:order val="2"/>
          <c:tx>
            <c:v>Market Portfolio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'T1-CML'!$D$13</c:f>
              <c:numCache>
                <c:formatCode>0.00%</c:formatCode>
                <c:ptCount val="1"/>
                <c:pt idx="0">
                  <c:v>0.11675272308219384</c:v>
                </c:pt>
              </c:numCache>
            </c:numRef>
          </c:xVal>
          <c:yVal>
            <c:numRef>
              <c:f>'T1-CML'!$D$12</c:f>
              <c:numCache>
                <c:formatCode>0.00%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4C1-4E86-937B-57A429E2C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7208"/>
        <c:axId val="605247600"/>
      </c:scatterChart>
      <c:valAx>
        <c:axId val="60524720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600"/>
        <c:crosses val="autoZero"/>
        <c:crossBetween val="midCat"/>
      </c:valAx>
      <c:valAx>
        <c:axId val="605247600"/>
        <c:scaling>
          <c:orientation val="minMax"/>
          <c:max val="0.2"/>
          <c:min val="4.000000000000000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20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2321428571428575"/>
          <c:y val="0.20243210240431175"/>
          <c:w val="0.33690569928758907"/>
          <c:h val="0.219289233230872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Security Market Line (SML)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280608105804956"/>
          <c:y val="0.1656393944380769"/>
          <c:w val="0.72269775368987965"/>
          <c:h val="0.65004899925897264"/>
        </c:manualLayout>
      </c:layout>
      <c:scatterChart>
        <c:scatterStyle val="smoothMarker"/>
        <c:varyColors val="0"/>
        <c:ser>
          <c:idx val="0"/>
          <c:order val="0"/>
          <c:tx>
            <c:v>SML</c:v>
          </c:tx>
          <c:spPr>
            <a:ln w="38100">
              <a:solidFill>
                <a:schemeClr val="accent1">
                  <a:shade val="95000"/>
                  <a:satMod val="10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0-3705-4605-B3F2-7CD3ACE564FF}"/>
              </c:ext>
            </c:extLst>
          </c:dPt>
          <c:xVal>
            <c:numRef>
              <c:f>'T1-SML'!$C$32:$K$32</c:f>
              <c:numCache>
                <c:formatCode>_(* #,##0.000_);_(* \(#,##0.000\);_(* "-"??_);_(@_)</c:formatCode>
                <c:ptCount val="9"/>
                <c:pt idx="0">
                  <c:v>3.3379310344827582</c:v>
                </c:pt>
                <c:pt idx="1">
                  <c:v>2.8827586206896547</c:v>
                </c:pt>
                <c:pt idx="2">
                  <c:v>2.4275862068965517</c:v>
                </c:pt>
                <c:pt idx="3">
                  <c:v>1.9724137931034482</c:v>
                </c:pt>
                <c:pt idx="4">
                  <c:v>1.5172413793103448</c:v>
                </c:pt>
                <c:pt idx="5">
                  <c:v>1.0620689655172415</c:v>
                </c:pt>
                <c:pt idx="6">
                  <c:v>0.60689655172413814</c:v>
                </c:pt>
                <c:pt idx="7">
                  <c:v>0.15172413793103479</c:v>
                </c:pt>
                <c:pt idx="8">
                  <c:v>-0.30344827586206857</c:v>
                </c:pt>
              </c:numCache>
            </c:numRef>
          </c:xVal>
          <c:yVal>
            <c:numRef>
              <c:f>'T1-SML'!$C$33:$K$33</c:f>
              <c:numCache>
                <c:formatCode>0.0%</c:formatCode>
                <c:ptCount val="9"/>
                <c:pt idx="0">
                  <c:v>0.28000000000000025</c:v>
                </c:pt>
                <c:pt idx="1">
                  <c:v>0.25000000000000022</c:v>
                </c:pt>
                <c:pt idx="2">
                  <c:v>0.22000000000000022</c:v>
                </c:pt>
                <c:pt idx="3">
                  <c:v>0.19000000000000017</c:v>
                </c:pt>
                <c:pt idx="4">
                  <c:v>0.16000000000000014</c:v>
                </c:pt>
                <c:pt idx="5">
                  <c:v>0.13000000000000012</c:v>
                </c:pt>
                <c:pt idx="6">
                  <c:v>0.10000000000000006</c:v>
                </c:pt>
                <c:pt idx="7">
                  <c:v>7.0000000000000034E-2</c:v>
                </c:pt>
                <c:pt idx="8">
                  <c:v>3.9999999999999994E-2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705-4605-B3F2-7CD3ACE564FF}"/>
            </c:ext>
          </c:extLst>
        </c:ser>
        <c:ser>
          <c:idx val="1"/>
          <c:order val="1"/>
          <c:tx>
            <c:v>Market</c:v>
          </c:tx>
          <c:marker>
            <c:symbol val="circle"/>
            <c:size val="12"/>
            <c:spPr>
              <a:solidFill>
                <a:srgbClr val="C00000"/>
              </a:solidFill>
            </c:spPr>
          </c:marker>
          <c:xVal>
            <c:numRef>
              <c:f>'T1-SML'!$M$32</c:f>
              <c:numCache>
                <c:formatCode>_(* #,##0.000_);_(* \(#,##0.000\);_(* "-"??_);_(@_)</c:formatCode>
                <c:ptCount val="1"/>
                <c:pt idx="0">
                  <c:v>1</c:v>
                </c:pt>
              </c:numCache>
            </c:numRef>
          </c:xVal>
          <c:yVal>
            <c:numRef>
              <c:f>'T1-SML'!$M$33</c:f>
              <c:numCache>
                <c:formatCode>0.0%</c:formatCode>
                <c:ptCount val="1"/>
                <c:pt idx="0">
                  <c:v>0.125909090909091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69-4923-8D66-86FCF1696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8683920"/>
        <c:axId val="604149720"/>
      </c:scatterChart>
      <c:valAx>
        <c:axId val="738683920"/>
        <c:scaling>
          <c:orientation val="minMax"/>
          <c:min val="-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Beta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149720"/>
        <c:crosses val="autoZero"/>
        <c:crossBetween val="midCat"/>
      </c:valAx>
      <c:valAx>
        <c:axId val="604149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738683920"/>
        <c:crosses val="autoZero"/>
        <c:crossBetween val="midCat"/>
      </c:valAx>
    </c:plotArea>
    <c:plotVisOnly val="1"/>
    <c:dispBlanksAs val="gap"/>
    <c:showDLblsOverMax val="0"/>
  </c:chart>
  <c:spPr>
    <a:solidFill>
      <a:schemeClr val="bg1"/>
    </a:solidFill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00FF"/>
                </a:solidFill>
              </a:defRPr>
            </a:pPr>
            <a:r>
              <a:rPr lang="en-US" sz="1200">
                <a:solidFill>
                  <a:srgbClr val="0000FF"/>
                </a:solidFill>
              </a:rPr>
              <a:t>Capital</a:t>
            </a:r>
            <a:r>
              <a:rPr lang="en-US" sz="1200" baseline="0">
                <a:solidFill>
                  <a:srgbClr val="0000FF"/>
                </a:solidFill>
              </a:rPr>
              <a:t> Market Line (CML)</a:t>
            </a:r>
            <a:endParaRPr lang="en-US" sz="1200">
              <a:solidFill>
                <a:srgbClr val="0000FF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1627422653539441"/>
          <c:y val="0.12486286088817855"/>
          <c:w val="0.7083090217877277"/>
          <c:h val="0.6953939830668443"/>
        </c:manualLayout>
      </c:layout>
      <c:scatterChart>
        <c:scatterStyle val="lineMarker"/>
        <c:varyColors val="0"/>
        <c:ser>
          <c:idx val="5"/>
          <c:order val="0"/>
          <c:spPr>
            <a:ln>
              <a:solidFill>
                <a:schemeClr val="bg2">
                  <a:lumMod val="9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'CML vs SML'!$O$30:$O$31</c:f>
              <c:numCache>
                <c:formatCode>0.0%</c:formatCode>
                <c:ptCount val="2"/>
                <c:pt idx="0">
                  <c:v>0.05</c:v>
                </c:pt>
                <c:pt idx="1">
                  <c:v>0.25</c:v>
                </c:pt>
              </c:numCache>
            </c:numRef>
          </c:xVal>
          <c:yVal>
            <c:numRef>
              <c:f>'CML vs SML'!$N$30:$N$31</c:f>
              <c:numCache>
                <c:formatCode>0.0%</c:formatCode>
                <c:ptCount val="2"/>
                <c:pt idx="0">
                  <c:v>0.16545454545454547</c:v>
                </c:pt>
                <c:pt idx="1">
                  <c:v>0.16545454545454547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A3D-446B-BADD-762F08CCF511}"/>
            </c:ext>
          </c:extLst>
        </c:ser>
        <c:ser>
          <c:idx val="0"/>
          <c:order val="1"/>
          <c:tx>
            <c:v>Portfolio</c:v>
          </c:tx>
          <c:spPr>
            <a:ln w="63500">
              <a:solidFill>
                <a:srgbClr val="00B050"/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'CML vs SML'!$I$6:$I$27</c:f>
              <c:numCache>
                <c:formatCode>0.0%</c:formatCode>
                <c:ptCount val="22"/>
                <c:pt idx="0">
                  <c:v>0.28896366553599784</c:v>
                </c:pt>
                <c:pt idx="1">
                  <c:v>0.27070278905101813</c:v>
                </c:pt>
                <c:pt idx="2">
                  <c:v>0.25262620608321695</c:v>
                </c:pt>
                <c:pt idx="3">
                  <c:v>0.23477648945326704</c:v>
                </c:pt>
                <c:pt idx="4">
                  <c:v>0.21720957621615125</c:v>
                </c:pt>
                <c:pt idx="5">
                  <c:v>0.2</c:v>
                </c:pt>
                <c:pt idx="6">
                  <c:v>0.18324846520503249</c:v>
                </c:pt>
                <c:pt idx="7">
                  <c:v>0.16709278859364343</c:v>
                </c:pt>
                <c:pt idx="8">
                  <c:v>0.15172343260024143</c:v>
                </c:pt>
                <c:pt idx="9">
                  <c:v>0.13740451229854136</c:v>
                </c:pt>
                <c:pt idx="10">
                  <c:v>0.12449899597988734</c:v>
                </c:pt>
                <c:pt idx="11">
                  <c:v>0.11349008767288887</c:v>
                </c:pt>
                <c:pt idx="12">
                  <c:v>0.10497618777608568</c:v>
                </c:pt>
                <c:pt idx="13">
                  <c:v>9.9599196783909869E-2</c:v>
                </c:pt>
                <c:pt idx="14">
                  <c:v>9.787747442593725E-2</c:v>
                </c:pt>
                <c:pt idx="15">
                  <c:v>0.1</c:v>
                </c:pt>
                <c:pt idx="16">
                  <c:v>0.10573551910309043</c:v>
                </c:pt>
                <c:pt idx="17">
                  <c:v>0.11454256850621085</c:v>
                </c:pt>
                <c:pt idx="18">
                  <c:v>0.12577758146824103</c:v>
                </c:pt>
                <c:pt idx="19">
                  <c:v>0.13885243966167829</c:v>
                </c:pt>
                <c:pt idx="20">
                  <c:v>0.15329709716755896</c:v>
                </c:pt>
                <c:pt idx="21">
                  <c:v>0.16876018487783198</c:v>
                </c:pt>
              </c:numCache>
            </c:numRef>
          </c:xVal>
          <c:yVal>
            <c:numRef>
              <c:f>'CML vs SML'!$H$6:$H$27</c:f>
              <c:numCache>
                <c:formatCode>0.0%</c:formatCode>
                <c:ptCount val="22"/>
                <c:pt idx="0">
                  <c:v>0.19</c:v>
                </c:pt>
                <c:pt idx="1">
                  <c:v>0.18399999999999997</c:v>
                </c:pt>
                <c:pt idx="2">
                  <c:v>0.17800000000000002</c:v>
                </c:pt>
                <c:pt idx="3">
                  <c:v>0.17199999999999999</c:v>
                </c:pt>
                <c:pt idx="4">
                  <c:v>0.16600000000000001</c:v>
                </c:pt>
                <c:pt idx="5">
                  <c:v>0.16</c:v>
                </c:pt>
                <c:pt idx="6">
                  <c:v>0.15400000000000003</c:v>
                </c:pt>
                <c:pt idx="7">
                  <c:v>0.14800000000000002</c:v>
                </c:pt>
                <c:pt idx="8">
                  <c:v>0.14199999999999999</c:v>
                </c:pt>
                <c:pt idx="9">
                  <c:v>0.13600000000000001</c:v>
                </c:pt>
                <c:pt idx="10">
                  <c:v>0.13</c:v>
                </c:pt>
                <c:pt idx="11">
                  <c:v>0.124</c:v>
                </c:pt>
                <c:pt idx="12">
                  <c:v>0.11799999999999999</c:v>
                </c:pt>
                <c:pt idx="13">
                  <c:v>0.11200000000000002</c:v>
                </c:pt>
                <c:pt idx="14">
                  <c:v>0.10600000000000001</c:v>
                </c:pt>
                <c:pt idx="15">
                  <c:v>0.1</c:v>
                </c:pt>
                <c:pt idx="16">
                  <c:v>9.4E-2</c:v>
                </c:pt>
                <c:pt idx="17">
                  <c:v>8.7999999999999995E-2</c:v>
                </c:pt>
                <c:pt idx="18">
                  <c:v>8.199999999999999E-2</c:v>
                </c:pt>
                <c:pt idx="19">
                  <c:v>7.5999999999999984E-2</c:v>
                </c:pt>
                <c:pt idx="20">
                  <c:v>6.9999999999999979E-2</c:v>
                </c:pt>
                <c:pt idx="21">
                  <c:v>6.3999999999999974E-2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A3D-446B-BADD-762F08CCF511}"/>
            </c:ext>
          </c:extLst>
        </c:ser>
        <c:ser>
          <c:idx val="1"/>
          <c:order val="2"/>
          <c:tx>
            <c:v>CML</c:v>
          </c:tx>
          <c:spPr>
            <a:ln w="635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'CML vs SML'!$O$6:$O$26</c:f>
              <c:numCache>
                <c:formatCode>0.0%</c:formatCode>
                <c:ptCount val="21"/>
                <c:pt idx="0">
                  <c:v>0</c:v>
                </c:pt>
                <c:pt idx="1">
                  <c:v>1.1675272308219395E-2</c:v>
                </c:pt>
                <c:pt idx="2">
                  <c:v>2.3350544616438776E-2</c:v>
                </c:pt>
                <c:pt idx="3">
                  <c:v>3.5025816924658157E-2</c:v>
                </c:pt>
                <c:pt idx="4">
                  <c:v>4.6701089232877538E-2</c:v>
                </c:pt>
                <c:pt idx="5">
                  <c:v>5.8376361541096919E-2</c:v>
                </c:pt>
                <c:pt idx="6">
                  <c:v>7.00516338493163E-2</c:v>
                </c:pt>
                <c:pt idx="7">
                  <c:v>8.1726906157535681E-2</c:v>
                </c:pt>
                <c:pt idx="8">
                  <c:v>9.3402178465755076E-2</c:v>
                </c:pt>
                <c:pt idx="9">
                  <c:v>0.10507745077397446</c:v>
                </c:pt>
                <c:pt idx="10">
                  <c:v>0.11675272308219384</c:v>
                </c:pt>
                <c:pt idx="11">
                  <c:v>0.12842799539041322</c:v>
                </c:pt>
                <c:pt idx="12">
                  <c:v>0.1401032676986326</c:v>
                </c:pt>
                <c:pt idx="13">
                  <c:v>0.15177854000685198</c:v>
                </c:pt>
                <c:pt idx="14">
                  <c:v>0.16345381231507136</c:v>
                </c:pt>
                <c:pt idx="15">
                  <c:v>0.17512908462329074</c:v>
                </c:pt>
                <c:pt idx="16">
                  <c:v>0.18680435693151015</c:v>
                </c:pt>
                <c:pt idx="17">
                  <c:v>0.19847962923972953</c:v>
                </c:pt>
                <c:pt idx="18">
                  <c:v>0.21015490154794889</c:v>
                </c:pt>
                <c:pt idx="19">
                  <c:v>0.22183017385616829</c:v>
                </c:pt>
                <c:pt idx="20">
                  <c:v>0.23350544616438768</c:v>
                </c:pt>
              </c:numCache>
            </c:numRef>
          </c:xVal>
          <c:yVal>
            <c:numRef>
              <c:f>'CML vs SML'!$N$6:$N$26</c:f>
              <c:numCache>
                <c:formatCode>0.00%</c:formatCode>
                <c:ptCount val="21"/>
                <c:pt idx="0">
                  <c:v>5.9999999999999991E-2</c:v>
                </c:pt>
                <c:pt idx="1">
                  <c:v>6.6590909090909089E-2</c:v>
                </c:pt>
                <c:pt idx="2">
                  <c:v>7.3181818181818181E-2</c:v>
                </c:pt>
                <c:pt idx="3">
                  <c:v>7.9772727272727273E-2</c:v>
                </c:pt>
                <c:pt idx="4">
                  <c:v>8.6363636363636365E-2</c:v>
                </c:pt>
                <c:pt idx="5">
                  <c:v>9.2954545454545456E-2</c:v>
                </c:pt>
                <c:pt idx="6">
                  <c:v>9.9545454545454548E-2</c:v>
                </c:pt>
                <c:pt idx="7">
                  <c:v>0.10613636363636364</c:v>
                </c:pt>
                <c:pt idx="8">
                  <c:v>0.11272727272727273</c:v>
                </c:pt>
                <c:pt idx="9">
                  <c:v>0.11931818181818184</c:v>
                </c:pt>
                <c:pt idx="10">
                  <c:v>0.12590909090909091</c:v>
                </c:pt>
                <c:pt idx="11">
                  <c:v>0.13250000000000001</c:v>
                </c:pt>
                <c:pt idx="12">
                  <c:v>0.13909090909090907</c:v>
                </c:pt>
                <c:pt idx="13">
                  <c:v>0.14568181818181819</c:v>
                </c:pt>
                <c:pt idx="14">
                  <c:v>0.15227272727272728</c:v>
                </c:pt>
                <c:pt idx="15">
                  <c:v>0.15886363636363637</c:v>
                </c:pt>
                <c:pt idx="16">
                  <c:v>0.16545454545454547</c:v>
                </c:pt>
                <c:pt idx="17">
                  <c:v>0.17204545454545456</c:v>
                </c:pt>
                <c:pt idx="18">
                  <c:v>0.17863636363636365</c:v>
                </c:pt>
                <c:pt idx="19">
                  <c:v>0.18522727272727274</c:v>
                </c:pt>
                <c:pt idx="20">
                  <c:v>0.19181818181818183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A3D-446B-BADD-762F08CCF511}"/>
            </c:ext>
          </c:extLst>
        </c:ser>
        <c:ser>
          <c:idx val="2"/>
          <c:order val="3"/>
          <c:tx>
            <c:v>Market Portfolio</c:v>
          </c:tx>
          <c:spPr>
            <a:ln>
              <a:noFill/>
            </a:ln>
          </c:spPr>
          <c:marker>
            <c:symbol val="triangle"/>
            <c:size val="12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'CML vs SML'!$I$39</c:f>
              <c:numCache>
                <c:formatCode>0.0%</c:formatCode>
                <c:ptCount val="1"/>
                <c:pt idx="0">
                  <c:v>0.11675272308219384</c:v>
                </c:pt>
              </c:numCache>
            </c:numRef>
          </c:xVal>
          <c:yVal>
            <c:numRef>
              <c:f>'CML vs SML'!$H$39</c:f>
              <c:numCache>
                <c:formatCode>0.0%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A3D-446B-BADD-762F08CCF511}"/>
            </c:ext>
          </c:extLst>
        </c:ser>
        <c:ser>
          <c:idx val="3"/>
          <c:order val="4"/>
          <c:tx>
            <c:v>CML_pt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rgbClr val="FF9900"/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xVal>
            <c:numRef>
              <c:f>'CML vs SML'!$O$29</c:f>
              <c:numCache>
                <c:formatCode>0.0%</c:formatCode>
                <c:ptCount val="1"/>
                <c:pt idx="0">
                  <c:v>0.18680435693151015</c:v>
                </c:pt>
              </c:numCache>
            </c:numRef>
          </c:xVal>
          <c:yVal>
            <c:numRef>
              <c:f>'CML vs SML'!$N$29</c:f>
              <c:numCache>
                <c:formatCode>0.0%</c:formatCode>
                <c:ptCount val="1"/>
                <c:pt idx="0">
                  <c:v>0.16545454545454547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A3D-446B-BADD-762F08CCF511}"/>
            </c:ext>
          </c:extLst>
        </c:ser>
        <c:ser>
          <c:idx val="4"/>
          <c:order val="5"/>
          <c:tx>
            <c:v>PPC_pt</c:v>
          </c:tx>
          <c:marker>
            <c:symbol val="circle"/>
            <c:size val="10"/>
            <c:spPr>
              <a:solidFill>
                <a:srgbClr val="FF9900"/>
              </a:solidFill>
              <a:ln>
                <a:solidFill>
                  <a:srgbClr val="00B050"/>
                </a:solidFill>
              </a:ln>
            </c:spPr>
          </c:marker>
          <c:xVal>
            <c:numRef>
              <c:f>'CML vs SML'!$T$29</c:f>
              <c:numCache>
                <c:formatCode>0.0%</c:formatCode>
                <c:ptCount val="1"/>
                <c:pt idx="0">
                  <c:v>0.21562900493346218</c:v>
                </c:pt>
              </c:numCache>
            </c:numRef>
          </c:xVal>
          <c:yVal>
            <c:numRef>
              <c:f>'CML vs SML'!$S$29</c:f>
              <c:numCache>
                <c:formatCode>0.0%</c:formatCode>
                <c:ptCount val="1"/>
                <c:pt idx="0">
                  <c:v>0.16545454545454547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FA3D-446B-BADD-762F08CCF511}"/>
            </c:ext>
          </c:extLst>
        </c:ser>
        <c:ser>
          <c:idx val="6"/>
          <c:order val="6"/>
          <c:tx>
            <c:v>MVP</c:v>
          </c:tx>
          <c:marker>
            <c:symbol val="circle"/>
            <c:size val="10"/>
            <c:spPr>
              <a:solidFill>
                <a:schemeClr val="accent6">
                  <a:lumMod val="40000"/>
                  <a:lumOff val="60000"/>
                </a:schemeClr>
              </a:solidFill>
            </c:spPr>
          </c:marker>
          <c:xVal>
            <c:numRef>
              <c:f>'CML vs SML'!$I$35</c:f>
              <c:numCache>
                <c:formatCode>0.0000%</c:formatCode>
                <c:ptCount val="1"/>
                <c:pt idx="0">
                  <c:v>9.7872096985918589E-2</c:v>
                </c:pt>
              </c:numCache>
            </c:numRef>
          </c:xVal>
          <c:yVal>
            <c:numRef>
              <c:f>'CML vs SML'!$H$35</c:f>
              <c:numCache>
                <c:formatCode>0.0%</c:formatCode>
                <c:ptCount val="1"/>
                <c:pt idx="0">
                  <c:v>0.10631578947368421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FA3D-446B-BADD-762F08CCF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7208"/>
        <c:axId val="605247600"/>
      </c:scatterChart>
      <c:valAx>
        <c:axId val="60524720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solidFill>
                      <a:srgbClr val="0000FF"/>
                    </a:solidFill>
                  </a:defRPr>
                </a:pPr>
                <a:r>
                  <a:rPr lang="en-US" sz="1200">
                    <a:solidFill>
                      <a:srgbClr val="0000FF"/>
                    </a:solidFill>
                  </a:rPr>
                  <a:t>Standard Deviation, </a:t>
                </a:r>
                <a:r>
                  <a:rPr lang="el-GR" sz="1200">
                    <a:solidFill>
                      <a:srgbClr val="0000FF"/>
                    </a:solidFill>
                  </a:rPr>
                  <a:t>σ</a:t>
                </a:r>
                <a:endParaRPr lang="en-US" sz="1200">
                  <a:solidFill>
                    <a:srgbClr val="0000FF"/>
                  </a:solidFill>
                </a:endParaRP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600"/>
        <c:crosses val="autoZero"/>
        <c:crossBetween val="midCat"/>
      </c:valAx>
      <c:valAx>
        <c:axId val="605247600"/>
        <c:scaling>
          <c:orientation val="minMax"/>
          <c:max val="0.2"/>
          <c:min val="4.000000000000000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2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>
                <a:solidFill>
                  <a:srgbClr val="00A4DE"/>
                </a:solidFill>
              </a:defRPr>
            </a:pPr>
            <a:r>
              <a:rPr lang="en-US" sz="1200">
                <a:solidFill>
                  <a:srgbClr val="00A4DE"/>
                </a:solidFill>
              </a:rPr>
              <a:t>Security</a:t>
            </a:r>
            <a:r>
              <a:rPr lang="en-US" sz="1200" baseline="0">
                <a:solidFill>
                  <a:srgbClr val="00A4DE"/>
                </a:solidFill>
              </a:rPr>
              <a:t> Market Line (SML)</a:t>
            </a:r>
            <a:endParaRPr lang="en-US" sz="1200">
              <a:solidFill>
                <a:srgbClr val="00A4DE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3017953778395797"/>
          <c:y val="0.15917085414409154"/>
          <c:w val="0.6944036438587895"/>
          <c:h val="0.66108598981093125"/>
        </c:manualLayout>
      </c:layout>
      <c:scatterChart>
        <c:scatterStyle val="lineMarker"/>
        <c:varyColors val="0"/>
        <c:ser>
          <c:idx val="3"/>
          <c:order val="0"/>
          <c:tx>
            <c:v>sml-horiz</c:v>
          </c:tx>
          <c:spPr>
            <a:ln>
              <a:solidFill>
                <a:schemeClr val="bg2">
                  <a:lumMod val="9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'CML vs SML'!$V$30:$V$31</c:f>
              <c:numCache>
                <c:formatCode>_(* #,##0.00_);_(* \(#,##0.00\);_(* "-"??_);_(@_)</c:formatCode>
                <c:ptCount val="2"/>
                <c:pt idx="0">
                  <c:v>0</c:v>
                </c:pt>
                <c:pt idx="1">
                  <c:v>1.8</c:v>
                </c:pt>
              </c:numCache>
            </c:numRef>
          </c:xVal>
          <c:yVal>
            <c:numRef>
              <c:f>'CML vs SML'!$W$30:$W$31</c:f>
              <c:numCache>
                <c:formatCode>0.0%</c:formatCode>
                <c:ptCount val="2"/>
                <c:pt idx="0">
                  <c:v>0.16545454545454547</c:v>
                </c:pt>
                <c:pt idx="1">
                  <c:v>0.16545454545454547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ED-4539-B2FA-DA1755D4B6D5}"/>
            </c:ext>
          </c:extLst>
        </c:ser>
        <c:ser>
          <c:idx val="1"/>
          <c:order val="1"/>
          <c:tx>
            <c:v>CML</c:v>
          </c:tx>
          <c:spPr>
            <a:ln w="63500" cmpd="sng">
              <a:solidFill>
                <a:srgbClr val="33CCFF"/>
              </a:solidFill>
            </a:ln>
            <a:effectLst/>
          </c:spPr>
          <c:marker>
            <c:symbol val="none"/>
          </c:marker>
          <c:xVal>
            <c:numRef>
              <c:f>'CML vs SML'!$V$6:$V$26</c:f>
              <c:numCache>
                <c:formatCode>_(* #,##0.00_);_(* \(#,##0.00\);_(* "-"??_);_(@_)</c:formatCode>
                <c:ptCount val="21"/>
                <c:pt idx="0">
                  <c:v>0</c:v>
                </c:pt>
                <c:pt idx="1">
                  <c:v>0.10000000000000014</c:v>
                </c:pt>
                <c:pt idx="2">
                  <c:v>0.20000000000000021</c:v>
                </c:pt>
                <c:pt idx="3">
                  <c:v>0.30000000000000016</c:v>
                </c:pt>
                <c:pt idx="4">
                  <c:v>0.40000000000000013</c:v>
                </c:pt>
                <c:pt idx="5">
                  <c:v>0.50000000000000011</c:v>
                </c:pt>
                <c:pt idx="6">
                  <c:v>0.60000000000000009</c:v>
                </c:pt>
                <c:pt idx="7">
                  <c:v>0.70000000000000007</c:v>
                </c:pt>
                <c:pt idx="8">
                  <c:v>0.80000000000000016</c:v>
                </c:pt>
                <c:pt idx="9">
                  <c:v>0.90000000000000036</c:v>
                </c:pt>
                <c:pt idx="10">
                  <c:v>1</c:v>
                </c:pt>
                <c:pt idx="11">
                  <c:v>1.1000000000000001</c:v>
                </c:pt>
                <c:pt idx="12">
                  <c:v>1.1999999999999995</c:v>
                </c:pt>
                <c:pt idx="13">
                  <c:v>1.3</c:v>
                </c:pt>
                <c:pt idx="14">
                  <c:v>1.4000000000000001</c:v>
                </c:pt>
                <c:pt idx="15">
                  <c:v>1.5000000000000002</c:v>
                </c:pt>
                <c:pt idx="16">
                  <c:v>1.6</c:v>
                </c:pt>
                <c:pt idx="17">
                  <c:v>1.7000000000000002</c:v>
                </c:pt>
                <c:pt idx="18">
                  <c:v>1.8</c:v>
                </c:pt>
                <c:pt idx="19">
                  <c:v>1.9000000000000001</c:v>
                </c:pt>
                <c:pt idx="20">
                  <c:v>2</c:v>
                </c:pt>
              </c:numCache>
            </c:numRef>
          </c:xVal>
          <c:yVal>
            <c:numRef>
              <c:f>'CML vs SML'!$W$6:$W$26</c:f>
              <c:numCache>
                <c:formatCode>0.00%</c:formatCode>
                <c:ptCount val="21"/>
                <c:pt idx="0">
                  <c:v>0.06</c:v>
                </c:pt>
                <c:pt idx="1">
                  <c:v>6.6590909090909103E-2</c:v>
                </c:pt>
                <c:pt idx="2">
                  <c:v>7.3181818181818195E-2</c:v>
                </c:pt>
                <c:pt idx="3">
                  <c:v>7.9772727272727287E-2</c:v>
                </c:pt>
                <c:pt idx="4">
                  <c:v>8.6363636363636379E-2</c:v>
                </c:pt>
                <c:pt idx="5">
                  <c:v>9.2954545454545456E-2</c:v>
                </c:pt>
                <c:pt idx="6">
                  <c:v>9.9545454545454548E-2</c:v>
                </c:pt>
                <c:pt idx="7">
                  <c:v>0.10613636363636364</c:v>
                </c:pt>
                <c:pt idx="8">
                  <c:v>0.11272727272727273</c:v>
                </c:pt>
                <c:pt idx="9">
                  <c:v>0.11931818181818185</c:v>
                </c:pt>
                <c:pt idx="10">
                  <c:v>0.12590909090909091</c:v>
                </c:pt>
                <c:pt idx="11">
                  <c:v>0.13250000000000001</c:v>
                </c:pt>
                <c:pt idx="12">
                  <c:v>0.13909090909090907</c:v>
                </c:pt>
                <c:pt idx="13">
                  <c:v>0.14568181818181819</c:v>
                </c:pt>
                <c:pt idx="14">
                  <c:v>0.15227272727272728</c:v>
                </c:pt>
                <c:pt idx="15">
                  <c:v>0.15886363636363637</c:v>
                </c:pt>
                <c:pt idx="16">
                  <c:v>0.16545454545454547</c:v>
                </c:pt>
                <c:pt idx="17">
                  <c:v>0.17204545454545456</c:v>
                </c:pt>
                <c:pt idx="18">
                  <c:v>0.17863636363636365</c:v>
                </c:pt>
                <c:pt idx="19">
                  <c:v>0.18522727272727274</c:v>
                </c:pt>
                <c:pt idx="20">
                  <c:v>0.19181818181818183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0ED-4539-B2FA-DA1755D4B6D5}"/>
            </c:ext>
          </c:extLst>
        </c:ser>
        <c:ser>
          <c:idx val="2"/>
          <c:order val="2"/>
          <c:tx>
            <c:v>market-sml</c:v>
          </c:tx>
          <c:marker>
            <c:symbol val="triangle"/>
            <c:size val="12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'CML vs SML'!$V$16</c:f>
              <c:numCache>
                <c:formatCode>_(* #,##0.00_);_(* \(#,##0.00\);_(* "-"??_);_(@_)</c:formatCode>
                <c:ptCount val="1"/>
                <c:pt idx="0">
                  <c:v>1</c:v>
                </c:pt>
              </c:numCache>
            </c:numRef>
          </c:xVal>
          <c:yVal>
            <c:numRef>
              <c:f>'CML vs SML'!$S$16</c:f>
              <c:numCache>
                <c:formatCode>0.00%</c:formatCode>
                <c:ptCount val="1"/>
                <c:pt idx="0">
                  <c:v>0.12590909090909091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ED-4539-B2FA-DA1755D4B6D5}"/>
            </c:ext>
          </c:extLst>
        </c:ser>
        <c:ser>
          <c:idx val="0"/>
          <c:order val="3"/>
          <c:tx>
            <c:v>sml-selected</c:v>
          </c:tx>
          <c:marker>
            <c:symbol val="circle"/>
            <c:size val="10"/>
            <c:spPr>
              <a:solidFill>
                <a:srgbClr val="FF9900"/>
              </a:solidFill>
              <a:ln>
                <a:noFill/>
              </a:ln>
            </c:spPr>
          </c:marker>
          <c:xVal>
            <c:numRef>
              <c:f>'CML vs SML'!$V$29</c:f>
              <c:numCache>
                <c:formatCode>_(* #,##0.00_);_(* \(#,##0.00\);_(* "-"??_);_(@_)</c:formatCode>
                <c:ptCount val="1"/>
                <c:pt idx="0">
                  <c:v>1.6</c:v>
                </c:pt>
              </c:numCache>
            </c:numRef>
          </c:xVal>
          <c:yVal>
            <c:numRef>
              <c:f>'CML vs SML'!$W$29</c:f>
              <c:numCache>
                <c:formatCode>0.0%</c:formatCode>
                <c:ptCount val="1"/>
                <c:pt idx="0">
                  <c:v>0.16545454545454547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ED-4539-B2FA-DA1755D4B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7208"/>
        <c:axId val="605247600"/>
      </c:scatterChart>
      <c:valAx>
        <c:axId val="605247208"/>
        <c:scaling>
          <c:orientation val="minMax"/>
          <c:max val="2"/>
        </c:scaling>
        <c:delete val="0"/>
        <c:axPos val="b"/>
        <c:title>
          <c:tx>
            <c:rich>
              <a:bodyPr/>
              <a:lstStyle/>
              <a:p>
                <a:pPr>
                  <a:defRPr sz="1200">
                    <a:solidFill>
                      <a:srgbClr val="00A4DE"/>
                    </a:solidFill>
                  </a:defRPr>
                </a:pPr>
                <a:r>
                  <a:rPr lang="en-US" sz="1200">
                    <a:solidFill>
                      <a:srgbClr val="00A4DE"/>
                    </a:solidFill>
                  </a:rPr>
                  <a:t>Beta, </a:t>
                </a:r>
                <a:r>
                  <a:rPr lang="el-GR" sz="1200">
                    <a:solidFill>
                      <a:srgbClr val="00A4DE"/>
                    </a:solidFill>
                  </a:rPr>
                  <a:t>β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600"/>
        <c:crosses val="autoZero"/>
        <c:crossBetween val="midCat"/>
      </c:valAx>
      <c:valAx>
        <c:axId val="605247600"/>
        <c:scaling>
          <c:orientation val="minMax"/>
          <c:max val="0.2"/>
          <c:min val="4.000000000000000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20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Portfolio Possibilities Curve (PPC)</a:t>
            </a:r>
          </a:p>
          <a:p>
            <a:pPr>
              <a:defRPr sz="1200"/>
            </a:pPr>
            <a:r>
              <a:rPr lang="en-US" sz="1200"/>
              <a:t>Concave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xVal>
            <c:numRef>
              <c:f>'BTPQ 20-8-1'!$I$6:$I$27</c:f>
              <c:numCache>
                <c:formatCode>0.0%</c:formatCode>
                <c:ptCount val="22"/>
                <c:pt idx="0">
                  <c:v>0.3229163978493505</c:v>
                </c:pt>
                <c:pt idx="1">
                  <c:v>0.30398026251715748</c:v>
                </c:pt>
                <c:pt idx="2">
                  <c:v>0.28518590427999768</c:v>
                </c:pt>
                <c:pt idx="3">
                  <c:v>0.2665633133047382</c:v>
                </c:pt>
                <c:pt idx="4">
                  <c:v>0.24815116360799119</c:v>
                </c:pt>
                <c:pt idx="5">
                  <c:v>0.23</c:v>
                </c:pt>
                <c:pt idx="6">
                  <c:v>0.21217681305929734</c:v>
                </c:pt>
                <c:pt idx="7">
                  <c:v>0.19477166118303765</c:v>
                </c:pt>
                <c:pt idx="8">
                  <c:v>0.17790727922150909</c:v>
                </c:pt>
                <c:pt idx="9">
                  <c:v>0.161752897964766</c:v>
                </c:pt>
                <c:pt idx="10">
                  <c:v>0.14654350889752846</c:v>
                </c:pt>
                <c:pt idx="11">
                  <c:v>0.13260467563400621</c:v>
                </c:pt>
                <c:pt idx="12">
                  <c:v>0.12037856952132303</c:v>
                </c:pt>
                <c:pt idx="13">
                  <c:v>0.1104355015382282</c:v>
                </c:pt>
                <c:pt idx="14">
                  <c:v>0.10343597053249901</c:v>
                </c:pt>
                <c:pt idx="15">
                  <c:v>0.1</c:v>
                </c:pt>
                <c:pt idx="16">
                  <c:v>0.10049378090210359</c:v>
                </c:pt>
                <c:pt idx="17">
                  <c:v>0.10486181383134666</c:v>
                </c:pt>
                <c:pt idx="18">
                  <c:v>0.11265433857601759</c:v>
                </c:pt>
                <c:pt idx="19">
                  <c:v>0.12322337440599493</c:v>
                </c:pt>
                <c:pt idx="20">
                  <c:v>0.13592277219068191</c:v>
                </c:pt>
                <c:pt idx="21">
                  <c:v>0.15021318184500326</c:v>
                </c:pt>
              </c:numCache>
            </c:numRef>
          </c:xVal>
          <c:yVal>
            <c:numRef>
              <c:f>'BTPQ 20-8-1'!$H$6:$H$27</c:f>
              <c:numCache>
                <c:formatCode>0.0%</c:formatCode>
                <c:ptCount val="22"/>
                <c:pt idx="0">
                  <c:v>0.18499999999999997</c:v>
                </c:pt>
                <c:pt idx="1">
                  <c:v>0.17799999999999999</c:v>
                </c:pt>
                <c:pt idx="2">
                  <c:v>0.17100000000000001</c:v>
                </c:pt>
                <c:pt idx="3">
                  <c:v>0.16399999999999998</c:v>
                </c:pt>
                <c:pt idx="4">
                  <c:v>0.157</c:v>
                </c:pt>
                <c:pt idx="5">
                  <c:v>0.15</c:v>
                </c:pt>
                <c:pt idx="6">
                  <c:v>0.14300000000000002</c:v>
                </c:pt>
                <c:pt idx="7">
                  <c:v>0.13600000000000001</c:v>
                </c:pt>
                <c:pt idx="8">
                  <c:v>0.129</c:v>
                </c:pt>
                <c:pt idx="9">
                  <c:v>0.122</c:v>
                </c:pt>
                <c:pt idx="10">
                  <c:v>0.11499999999999999</c:v>
                </c:pt>
                <c:pt idx="11">
                  <c:v>0.108</c:v>
                </c:pt>
                <c:pt idx="12">
                  <c:v>0.10100000000000001</c:v>
                </c:pt>
                <c:pt idx="13">
                  <c:v>9.4000000000000014E-2</c:v>
                </c:pt>
                <c:pt idx="14">
                  <c:v>8.7000000000000008E-2</c:v>
                </c:pt>
                <c:pt idx="15">
                  <c:v>0.08</c:v>
                </c:pt>
                <c:pt idx="16">
                  <c:v>7.3000000000000009E-2</c:v>
                </c:pt>
                <c:pt idx="17">
                  <c:v>6.6000000000000003E-2</c:v>
                </c:pt>
                <c:pt idx="18">
                  <c:v>5.9000000000000004E-2</c:v>
                </c:pt>
                <c:pt idx="19">
                  <c:v>5.1999999999999998E-2</c:v>
                </c:pt>
                <c:pt idx="20">
                  <c:v>4.4999999999999998E-2</c:v>
                </c:pt>
                <c:pt idx="21">
                  <c:v>3.7999999999999992E-2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CC-4949-819A-FEF359492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7091528"/>
        <c:axId val="497091920"/>
      </c:scatterChart>
      <c:valAx>
        <c:axId val="49709152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920"/>
        <c:crosses val="autoZero"/>
        <c:crossBetween val="midCat"/>
      </c:valAx>
      <c:valAx>
        <c:axId val="497091920"/>
        <c:scaling>
          <c:orientation val="minMax"/>
          <c:max val="0.2"/>
          <c:min val="0.0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97091528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PPC with MVP and Market Portfolio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543298407361817"/>
          <c:y val="0.16345928105632887"/>
          <c:w val="0.67414226079927431"/>
          <c:h val="0.62192244075852787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31750">
              <a:solidFill>
                <a:schemeClr val="bg2">
                  <a:lumMod val="50000"/>
                </a:schemeClr>
              </a:solidFill>
              <a:prstDash val="sysDash"/>
            </a:ln>
            <a:effectLst/>
          </c:spPr>
          <c:marker>
            <c:symbol val="none"/>
          </c:marker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0-C4AE-4AC4-9B20-F03915C2D1E3}"/>
              </c:ext>
            </c:extLst>
          </c:dPt>
          <c:xVal>
            <c:numRef>
              <c:f>'BTPQ 20-8-1'!$I$6:$I$27</c:f>
              <c:numCache>
                <c:formatCode>0.0%</c:formatCode>
                <c:ptCount val="22"/>
                <c:pt idx="0">
                  <c:v>0.3229163978493505</c:v>
                </c:pt>
                <c:pt idx="1">
                  <c:v>0.30398026251715748</c:v>
                </c:pt>
                <c:pt idx="2">
                  <c:v>0.28518590427999768</c:v>
                </c:pt>
                <c:pt idx="3">
                  <c:v>0.2665633133047382</c:v>
                </c:pt>
                <c:pt idx="4">
                  <c:v>0.24815116360799119</c:v>
                </c:pt>
                <c:pt idx="5">
                  <c:v>0.23</c:v>
                </c:pt>
                <c:pt idx="6">
                  <c:v>0.21217681305929734</c:v>
                </c:pt>
                <c:pt idx="7">
                  <c:v>0.19477166118303765</c:v>
                </c:pt>
                <c:pt idx="8">
                  <c:v>0.17790727922150909</c:v>
                </c:pt>
                <c:pt idx="9">
                  <c:v>0.161752897964766</c:v>
                </c:pt>
                <c:pt idx="10">
                  <c:v>0.14654350889752846</c:v>
                </c:pt>
                <c:pt idx="11">
                  <c:v>0.13260467563400621</c:v>
                </c:pt>
                <c:pt idx="12">
                  <c:v>0.12037856952132303</c:v>
                </c:pt>
                <c:pt idx="13">
                  <c:v>0.1104355015382282</c:v>
                </c:pt>
                <c:pt idx="14">
                  <c:v>0.10343597053249901</c:v>
                </c:pt>
                <c:pt idx="15">
                  <c:v>0.1</c:v>
                </c:pt>
                <c:pt idx="16">
                  <c:v>0.10049378090210359</c:v>
                </c:pt>
                <c:pt idx="17">
                  <c:v>0.10486181383134666</c:v>
                </c:pt>
                <c:pt idx="18">
                  <c:v>0.11265433857601759</c:v>
                </c:pt>
                <c:pt idx="19">
                  <c:v>0.12322337440599493</c:v>
                </c:pt>
                <c:pt idx="20">
                  <c:v>0.13592277219068191</c:v>
                </c:pt>
                <c:pt idx="21">
                  <c:v>0.15021318184500326</c:v>
                </c:pt>
              </c:numCache>
            </c:numRef>
          </c:xVal>
          <c:yVal>
            <c:numRef>
              <c:f>'BTPQ 20-8-1'!$H$6:$H$27</c:f>
              <c:numCache>
                <c:formatCode>0.0%</c:formatCode>
                <c:ptCount val="22"/>
                <c:pt idx="0">
                  <c:v>0.18499999999999997</c:v>
                </c:pt>
                <c:pt idx="1">
                  <c:v>0.17799999999999999</c:v>
                </c:pt>
                <c:pt idx="2">
                  <c:v>0.17100000000000001</c:v>
                </c:pt>
                <c:pt idx="3">
                  <c:v>0.16399999999999998</c:v>
                </c:pt>
                <c:pt idx="4">
                  <c:v>0.157</c:v>
                </c:pt>
                <c:pt idx="5">
                  <c:v>0.15</c:v>
                </c:pt>
                <c:pt idx="6">
                  <c:v>0.14300000000000002</c:v>
                </c:pt>
                <c:pt idx="7">
                  <c:v>0.13600000000000001</c:v>
                </c:pt>
                <c:pt idx="8">
                  <c:v>0.129</c:v>
                </c:pt>
                <c:pt idx="9">
                  <c:v>0.122</c:v>
                </c:pt>
                <c:pt idx="10">
                  <c:v>0.11499999999999999</c:v>
                </c:pt>
                <c:pt idx="11">
                  <c:v>0.108</c:v>
                </c:pt>
                <c:pt idx="12">
                  <c:v>0.10100000000000001</c:v>
                </c:pt>
                <c:pt idx="13">
                  <c:v>9.4000000000000014E-2</c:v>
                </c:pt>
                <c:pt idx="14">
                  <c:v>8.7000000000000008E-2</c:v>
                </c:pt>
                <c:pt idx="15">
                  <c:v>0.08</c:v>
                </c:pt>
                <c:pt idx="16">
                  <c:v>7.3000000000000009E-2</c:v>
                </c:pt>
                <c:pt idx="17">
                  <c:v>6.6000000000000003E-2</c:v>
                </c:pt>
                <c:pt idx="18">
                  <c:v>5.9000000000000004E-2</c:v>
                </c:pt>
                <c:pt idx="19">
                  <c:v>5.1999999999999998E-2</c:v>
                </c:pt>
                <c:pt idx="20">
                  <c:v>4.4999999999999998E-2</c:v>
                </c:pt>
                <c:pt idx="21">
                  <c:v>3.7999999999999992E-2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AE-4AC4-9B20-F03915C2D1E3}"/>
            </c:ext>
          </c:extLst>
        </c:ser>
        <c:ser>
          <c:idx val="1"/>
          <c:order val="1"/>
          <c:tx>
            <c:v>Market Portfolio, M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C00000"/>
              </a:solidFill>
              <a:ln>
                <a:noFill/>
              </a:ln>
              <a:effectLst/>
            </c:spPr>
          </c:marker>
          <c:dPt>
            <c:idx val="0"/>
            <c:marker>
              <c:spPr>
                <a:solidFill>
                  <a:srgbClr val="C00000"/>
                </a:solidFill>
                <a:ln>
                  <a:noFill/>
                </a:ln>
                <a:effectLst>
                  <a:outerShdw blurRad="50800" dist="38100" dir="2700000" algn="tl" rotWithShape="0">
                    <a:prstClr val="black">
                      <a:alpha val="40000"/>
                    </a:prstClr>
                  </a:outerShdw>
                </a:effectLst>
              </c:spPr>
            </c:marker>
            <c:bubble3D val="0"/>
            <c:spPr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AE-4AC4-9B20-F03915C2D1E3}"/>
              </c:ext>
            </c:extLst>
          </c:dPt>
          <c:xVal>
            <c:numRef>
              <c:f>'BTPQ 20-8-1'!$I$35</c:f>
              <c:numCache>
                <c:formatCode>0.0%</c:formatCode>
                <c:ptCount val="1"/>
                <c:pt idx="0">
                  <c:v>0.13687762979095627</c:v>
                </c:pt>
              </c:numCache>
            </c:numRef>
          </c:xVal>
          <c:yVal>
            <c:numRef>
              <c:f>'BTPQ 20-8-1'!$H$35</c:f>
              <c:numCache>
                <c:formatCode>0.0%</c:formatCode>
                <c:ptCount val="1"/>
                <c:pt idx="0">
                  <c:v>0.11022727272727272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AE-4AC4-9B20-F03915C2D1E3}"/>
            </c:ext>
          </c:extLst>
        </c:ser>
        <c:ser>
          <c:idx val="2"/>
          <c:order val="2"/>
          <c:tx>
            <c:v>Min Variance</c:v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15"/>
            <c:spPr>
              <a:solidFill>
                <a:srgbClr val="008000"/>
              </a:solid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</c:marker>
          <c:xVal>
            <c:numRef>
              <c:f>'BTPQ 20-8-1'!$I$31</c:f>
              <c:numCache>
                <c:formatCode>0.0000%</c:formatCode>
                <c:ptCount val="1"/>
                <c:pt idx="0">
                  <c:v>9.9717646495273815E-2</c:v>
                </c:pt>
              </c:numCache>
            </c:numRef>
          </c:xVal>
          <c:yVal>
            <c:numRef>
              <c:f>'BTPQ 20-8-1'!$H$31</c:f>
              <c:numCache>
                <c:formatCode>0.0%</c:formatCode>
                <c:ptCount val="1"/>
                <c:pt idx="0">
                  <c:v>7.73684210526316E-2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AE-4AC4-9B20-F03915C2D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6064"/>
        <c:axId val="604985424"/>
      </c:scatterChart>
      <c:valAx>
        <c:axId val="605246064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Deviation, σ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985424"/>
        <c:crosses val="autoZero"/>
        <c:crossBetween val="midCat"/>
      </c:valAx>
      <c:valAx>
        <c:axId val="604985424"/>
        <c:scaling>
          <c:orientation val="minMax"/>
          <c:max val="0.18000000000000002"/>
          <c:min val="4.000000000000000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6064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5974025974025977"/>
          <c:y val="0.16296120257695057"/>
          <c:w val="0.46180154753383107"/>
          <c:h val="0.181895490336435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Capital</a:t>
            </a:r>
            <a:r>
              <a:rPr lang="en-US" sz="1200" baseline="0"/>
              <a:t> Market Line (CML)</a:t>
            </a:r>
            <a:endParaRPr lang="en-US" sz="12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9182977127859022"/>
          <c:y val="0.16345928105632887"/>
          <c:w val="0.71878515185601799"/>
          <c:h val="0.68252838716016095"/>
        </c:manualLayout>
      </c:layout>
      <c:scatterChart>
        <c:scatterStyle val="lineMarker"/>
        <c:varyColors val="0"/>
        <c:ser>
          <c:idx val="0"/>
          <c:order val="0"/>
          <c:tx>
            <c:v>Portfolio</c:v>
          </c:tx>
          <c:spPr>
            <a:ln w="79375">
              <a:solidFill>
                <a:schemeClr val="accent3">
                  <a:lumMod val="75000"/>
                </a:scheme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none"/>
          </c:marker>
          <c:xVal>
            <c:numRef>
              <c:f>'BTPQ 20-8-1'!$I$6:$I$27</c:f>
              <c:numCache>
                <c:formatCode>0.0%</c:formatCode>
                <c:ptCount val="22"/>
                <c:pt idx="0">
                  <c:v>0.3229163978493505</c:v>
                </c:pt>
                <c:pt idx="1">
                  <c:v>0.30398026251715748</c:v>
                </c:pt>
                <c:pt idx="2">
                  <c:v>0.28518590427999768</c:v>
                </c:pt>
                <c:pt idx="3">
                  <c:v>0.2665633133047382</c:v>
                </c:pt>
                <c:pt idx="4">
                  <c:v>0.24815116360799119</c:v>
                </c:pt>
                <c:pt idx="5">
                  <c:v>0.23</c:v>
                </c:pt>
                <c:pt idx="6">
                  <c:v>0.21217681305929734</c:v>
                </c:pt>
                <c:pt idx="7">
                  <c:v>0.19477166118303765</c:v>
                </c:pt>
                <c:pt idx="8">
                  <c:v>0.17790727922150909</c:v>
                </c:pt>
                <c:pt idx="9">
                  <c:v>0.161752897964766</c:v>
                </c:pt>
                <c:pt idx="10">
                  <c:v>0.14654350889752846</c:v>
                </c:pt>
                <c:pt idx="11">
                  <c:v>0.13260467563400621</c:v>
                </c:pt>
                <c:pt idx="12">
                  <c:v>0.12037856952132303</c:v>
                </c:pt>
                <c:pt idx="13">
                  <c:v>0.1104355015382282</c:v>
                </c:pt>
                <c:pt idx="14">
                  <c:v>0.10343597053249901</c:v>
                </c:pt>
                <c:pt idx="15">
                  <c:v>0.1</c:v>
                </c:pt>
                <c:pt idx="16">
                  <c:v>0.10049378090210359</c:v>
                </c:pt>
                <c:pt idx="17">
                  <c:v>0.10486181383134666</c:v>
                </c:pt>
                <c:pt idx="18">
                  <c:v>0.11265433857601759</c:v>
                </c:pt>
                <c:pt idx="19">
                  <c:v>0.12322337440599493</c:v>
                </c:pt>
                <c:pt idx="20">
                  <c:v>0.13592277219068191</c:v>
                </c:pt>
                <c:pt idx="21">
                  <c:v>0.15021318184500326</c:v>
                </c:pt>
              </c:numCache>
            </c:numRef>
          </c:xVal>
          <c:yVal>
            <c:numRef>
              <c:f>'BTPQ 20-8-1'!$H$6:$H$27</c:f>
              <c:numCache>
                <c:formatCode>0.0%</c:formatCode>
                <c:ptCount val="22"/>
                <c:pt idx="0">
                  <c:v>0.18499999999999997</c:v>
                </c:pt>
                <c:pt idx="1">
                  <c:v>0.17799999999999999</c:v>
                </c:pt>
                <c:pt idx="2">
                  <c:v>0.17100000000000001</c:v>
                </c:pt>
                <c:pt idx="3">
                  <c:v>0.16399999999999998</c:v>
                </c:pt>
                <c:pt idx="4">
                  <c:v>0.157</c:v>
                </c:pt>
                <c:pt idx="5">
                  <c:v>0.15</c:v>
                </c:pt>
                <c:pt idx="6">
                  <c:v>0.14300000000000002</c:v>
                </c:pt>
                <c:pt idx="7">
                  <c:v>0.13600000000000001</c:v>
                </c:pt>
                <c:pt idx="8">
                  <c:v>0.129</c:v>
                </c:pt>
                <c:pt idx="9">
                  <c:v>0.122</c:v>
                </c:pt>
                <c:pt idx="10">
                  <c:v>0.11499999999999999</c:v>
                </c:pt>
                <c:pt idx="11">
                  <c:v>0.108</c:v>
                </c:pt>
                <c:pt idx="12">
                  <c:v>0.10100000000000001</c:v>
                </c:pt>
                <c:pt idx="13">
                  <c:v>9.4000000000000014E-2</c:v>
                </c:pt>
                <c:pt idx="14">
                  <c:v>8.7000000000000008E-2</c:v>
                </c:pt>
                <c:pt idx="15">
                  <c:v>0.08</c:v>
                </c:pt>
                <c:pt idx="16">
                  <c:v>7.3000000000000009E-2</c:v>
                </c:pt>
                <c:pt idx="17">
                  <c:v>6.6000000000000003E-2</c:v>
                </c:pt>
                <c:pt idx="18">
                  <c:v>5.9000000000000004E-2</c:v>
                </c:pt>
                <c:pt idx="19">
                  <c:v>5.1999999999999998E-2</c:v>
                </c:pt>
                <c:pt idx="20">
                  <c:v>4.4999999999999998E-2</c:v>
                </c:pt>
                <c:pt idx="21">
                  <c:v>3.7999999999999992E-2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86-4ECA-A81D-6FADFFD4BD89}"/>
            </c:ext>
          </c:extLst>
        </c:ser>
        <c:ser>
          <c:idx val="1"/>
          <c:order val="1"/>
          <c:tx>
            <c:v>CML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'BTPQ 20-8-1a'!$I$10:$I$27</c:f>
              <c:numCache>
                <c:formatCode>0.00%</c:formatCode>
                <c:ptCount val="18"/>
                <c:pt idx="0">
                  <c:v>0</c:v>
                </c:pt>
                <c:pt idx="1">
                  <c:v>1.3699999999999999E-2</c:v>
                </c:pt>
                <c:pt idx="2">
                  <c:v>2.7399999999999997E-2</c:v>
                </c:pt>
                <c:pt idx="3">
                  <c:v>4.1099999999999991E-2</c:v>
                </c:pt>
                <c:pt idx="4">
                  <c:v>5.4799999999999995E-2</c:v>
                </c:pt>
                <c:pt idx="5">
                  <c:v>6.8499999999999991E-2</c:v>
                </c:pt>
                <c:pt idx="6">
                  <c:v>8.2199999999999981E-2</c:v>
                </c:pt>
                <c:pt idx="7">
                  <c:v>9.5899999999999985E-2</c:v>
                </c:pt>
                <c:pt idx="8">
                  <c:v>0.10959999999999999</c:v>
                </c:pt>
                <c:pt idx="9">
                  <c:v>0.12329999999999999</c:v>
                </c:pt>
                <c:pt idx="10">
                  <c:v>0.13699999999999998</c:v>
                </c:pt>
                <c:pt idx="11">
                  <c:v>0.1507</c:v>
                </c:pt>
                <c:pt idx="12">
                  <c:v>0.16440000000000002</c:v>
                </c:pt>
                <c:pt idx="13">
                  <c:v>0.17809999999999998</c:v>
                </c:pt>
                <c:pt idx="14">
                  <c:v>0.1918</c:v>
                </c:pt>
                <c:pt idx="15">
                  <c:v>0.20550000000000002</c:v>
                </c:pt>
                <c:pt idx="16">
                  <c:v>0.21920000000000001</c:v>
                </c:pt>
                <c:pt idx="17">
                  <c:v>0.23289999999999997</c:v>
                </c:pt>
              </c:numCache>
            </c:numRef>
          </c:xVal>
          <c:yVal>
            <c:numRef>
              <c:f>'BTPQ 20-8-1a'!$H$10:$H$27</c:f>
              <c:numCache>
                <c:formatCode>0.00%</c:formatCode>
                <c:ptCount val="18"/>
                <c:pt idx="0">
                  <c:v>0.04</c:v>
                </c:pt>
                <c:pt idx="1">
                  <c:v>4.7E-2</c:v>
                </c:pt>
                <c:pt idx="2">
                  <c:v>5.3999999999999992E-2</c:v>
                </c:pt>
                <c:pt idx="3">
                  <c:v>6.0999999999999999E-2</c:v>
                </c:pt>
                <c:pt idx="4">
                  <c:v>6.7999999999999991E-2</c:v>
                </c:pt>
                <c:pt idx="5">
                  <c:v>7.4999999999999983E-2</c:v>
                </c:pt>
                <c:pt idx="6">
                  <c:v>8.199999999999999E-2</c:v>
                </c:pt>
                <c:pt idx="7">
                  <c:v>8.8999999999999996E-2</c:v>
                </c:pt>
                <c:pt idx="8">
                  <c:v>9.5999999999999988E-2</c:v>
                </c:pt>
                <c:pt idx="9">
                  <c:v>0.10299999999999999</c:v>
                </c:pt>
                <c:pt idx="10">
                  <c:v>0.10999999999999999</c:v>
                </c:pt>
                <c:pt idx="11">
                  <c:v>0.11699999999999999</c:v>
                </c:pt>
                <c:pt idx="12">
                  <c:v>0.12400000000000001</c:v>
                </c:pt>
                <c:pt idx="13">
                  <c:v>0.13100000000000001</c:v>
                </c:pt>
                <c:pt idx="14">
                  <c:v>0.13800000000000001</c:v>
                </c:pt>
                <c:pt idx="15">
                  <c:v>0.14500000000000002</c:v>
                </c:pt>
                <c:pt idx="16">
                  <c:v>0.152</c:v>
                </c:pt>
                <c:pt idx="17">
                  <c:v>0.15899999999999997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B86-4ECA-A81D-6FADFFD4BD89}"/>
            </c:ext>
          </c:extLst>
        </c:ser>
        <c:ser>
          <c:idx val="2"/>
          <c:order val="2"/>
          <c:tx>
            <c:v>Market Portfolio</c:v>
          </c:tx>
          <c:spPr>
            <a:ln>
              <a:noFill/>
            </a:ln>
          </c:spPr>
          <c:marker>
            <c:symbol val="triangle"/>
            <c:size val="15"/>
            <c:spPr>
              <a:solidFill>
                <a:srgbClr val="FF0000"/>
              </a:solidFill>
              <a:ln>
                <a:noFill/>
              </a:ln>
            </c:spPr>
          </c:marker>
          <c:xVal>
            <c:numRef>
              <c:f>'BTPQ 20-8-1a'!$D$13</c:f>
              <c:numCache>
                <c:formatCode>0.000%</c:formatCode>
                <c:ptCount val="1"/>
                <c:pt idx="0">
                  <c:v>0.13700000000000001</c:v>
                </c:pt>
              </c:numCache>
            </c:numRef>
          </c:xVal>
          <c:yVal>
            <c:numRef>
              <c:f>'BTPQ 20-8-1a'!$D$12</c:f>
              <c:numCache>
                <c:formatCode>0.000%</c:formatCode>
                <c:ptCount val="1"/>
                <c:pt idx="0">
                  <c:v>0.11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B86-4ECA-A81D-6FADFFD4BD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5247208"/>
        <c:axId val="605247600"/>
      </c:scatterChart>
      <c:valAx>
        <c:axId val="605247208"/>
        <c:scaling>
          <c:orientation val="minMax"/>
          <c:max val="0.25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Standard Deviation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600"/>
        <c:crosses val="autoZero"/>
        <c:crossBetween val="midCat"/>
      </c:valAx>
      <c:valAx>
        <c:axId val="605247600"/>
        <c:scaling>
          <c:orientation val="minMax"/>
          <c:max val="0.2"/>
          <c:min val="4.0000000000000008E-2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Expected Return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5247208"/>
        <c:crosses val="autoZero"/>
        <c:crossBetween val="midCat"/>
      </c:valAx>
    </c:plotArea>
    <c:legend>
      <c:legendPos val="l"/>
      <c:layout>
        <c:manualLayout>
          <c:xMode val="edge"/>
          <c:yMode val="edge"/>
          <c:x val="0.22321428571428575"/>
          <c:y val="0.20243210240431175"/>
          <c:w val="0.33690569928758907"/>
          <c:h val="0.2192892332308728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17</xdr:col>
      <xdr:colOff>1</xdr:colOff>
      <xdr:row>26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</xdr:row>
      <xdr:rowOff>0</xdr:rowOff>
    </xdr:from>
    <xdr:to>
      <xdr:col>23</xdr:col>
      <xdr:colOff>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0</xdr:rowOff>
    </xdr:from>
    <xdr:to>
      <xdr:col>17</xdr:col>
      <xdr:colOff>1</xdr:colOff>
      <xdr:row>19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0</xdr:row>
      <xdr:rowOff>0</xdr:rowOff>
    </xdr:from>
    <xdr:to>
      <xdr:col>17</xdr:col>
      <xdr:colOff>1</xdr:colOff>
      <xdr:row>19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4</xdr:row>
      <xdr:rowOff>0</xdr:rowOff>
    </xdr:from>
    <xdr:to>
      <xdr:col>17</xdr:col>
      <xdr:colOff>419100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</xdr:rowOff>
    </xdr:from>
    <xdr:to>
      <xdr:col>11</xdr:col>
      <xdr:colOff>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36</xdr:row>
          <xdr:rowOff>152400</xdr:rowOff>
        </xdr:from>
        <xdr:to>
          <xdr:col>8</xdr:col>
          <xdr:colOff>0</xdr:colOff>
          <xdr:row>39</xdr:row>
          <xdr:rowOff>0</xdr:rowOff>
        </xdr:to>
        <xdr:sp macro="" textlink="">
          <xdr:nvSpPr>
            <xdr:cNvPr id="4097" name="Object 5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361950</xdr:colOff>
          <xdr:row>39</xdr:row>
          <xdr:rowOff>85725</xdr:rowOff>
        </xdr:from>
        <xdr:to>
          <xdr:col>7</xdr:col>
          <xdr:colOff>504825</xdr:colOff>
          <xdr:row>42</xdr:row>
          <xdr:rowOff>104775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</xdr:colOff>
      <xdr:row>33</xdr:row>
      <xdr:rowOff>0</xdr:rowOff>
    </xdr:from>
    <xdr:to>
      <xdr:col>22</xdr:col>
      <xdr:colOff>1</xdr:colOff>
      <xdr:row>51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BFF85F3F-447A-47F1-99B0-8A0789E1D1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0</xdr:colOff>
      <xdr:row>33</xdr:row>
      <xdr:rowOff>0</xdr:rowOff>
    </xdr:from>
    <xdr:to>
      <xdr:col>28</xdr:col>
      <xdr:colOff>424295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0CDB3FB-F2B9-4CFD-B967-15B8942AE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390525</xdr:colOff>
          <xdr:row>40</xdr:row>
          <xdr:rowOff>19050</xdr:rowOff>
        </xdr:from>
        <xdr:to>
          <xdr:col>21</xdr:col>
          <xdr:colOff>390525</xdr:colOff>
          <xdr:row>44</xdr:row>
          <xdr:rowOff>19050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47E6E65C-66AC-4CC9-897B-8B8D08674E5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Z$29:$AA$32" spid="_x0000_s21527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11487150" y="6496050"/>
              <a:ext cx="1219200" cy="6477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17</xdr:col>
      <xdr:colOff>1</xdr:colOff>
      <xdr:row>26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</xdr:row>
      <xdr:rowOff>0</xdr:rowOff>
    </xdr:from>
    <xdr:to>
      <xdr:col>23</xdr:col>
      <xdr:colOff>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4</xdr:row>
      <xdr:rowOff>0</xdr:rowOff>
    </xdr:from>
    <xdr:to>
      <xdr:col>17</xdr:col>
      <xdr:colOff>419100</xdr:colOff>
      <xdr:row>26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17</xdr:col>
      <xdr:colOff>1</xdr:colOff>
      <xdr:row>26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</xdr:row>
      <xdr:rowOff>0</xdr:rowOff>
    </xdr:from>
    <xdr:to>
      <xdr:col>23</xdr:col>
      <xdr:colOff>0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</xdr:rowOff>
    </xdr:from>
    <xdr:to>
      <xdr:col>11</xdr:col>
      <xdr:colOff>0</xdr:colOff>
      <xdr:row>25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304800</xdr:colOff>
          <xdr:row>36</xdr:row>
          <xdr:rowOff>152400</xdr:rowOff>
        </xdr:from>
        <xdr:to>
          <xdr:col>8</xdr:col>
          <xdr:colOff>0</xdr:colOff>
          <xdr:row>39</xdr:row>
          <xdr:rowOff>0</xdr:rowOff>
        </xdr:to>
        <xdr:sp macro="" textlink="">
          <xdr:nvSpPr>
            <xdr:cNvPr id="13313" name="Object 5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A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361950</xdr:colOff>
          <xdr:row>39</xdr:row>
          <xdr:rowOff>85725</xdr:rowOff>
        </xdr:from>
        <xdr:to>
          <xdr:col>7</xdr:col>
          <xdr:colOff>504825</xdr:colOff>
          <xdr:row>42</xdr:row>
          <xdr:rowOff>104775</xdr:rowOff>
        </xdr:to>
        <xdr:sp macro="" textlink="">
          <xdr:nvSpPr>
            <xdr:cNvPr id="13314" name="Object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00000000-0008-0000-0A00-000002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CCFFCC" mc:Ignorable="a14" a14:legacySpreadsheetColorIndex="42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3</xdr:row>
      <xdr:rowOff>161924</xdr:rowOff>
    </xdr:from>
    <xdr:to>
      <xdr:col>17</xdr:col>
      <xdr:colOff>1</xdr:colOff>
      <xdr:row>24</xdr:row>
      <xdr:rowOff>161924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bt-content/FRM/FRM%202020/Practice%20Questions/T1/t1-20-8-3-capm-theory%20-%20Edi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rch/2021-05-25-cml-versus-sml-be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T1-PPC-MVP"/>
      <sheetName val="T1-CML"/>
      <sheetName val="T1-SML"/>
      <sheetName val="arch"/>
      <sheetName val="T1-PPC-MVP (2)"/>
      <sheetName val="T1-SML (2)"/>
      <sheetName val="T1-Market Portfolio"/>
      <sheetName val="BT p1-t2-305-1"/>
      <sheetName val="BT p1-t2-305-2 (2)"/>
      <sheetName val="BT p1-t2-305-2"/>
      <sheetName val="BT p1-t2-305-1 (2)"/>
    </sheetNames>
    <sheetDataSet>
      <sheetData sheetId="0" refreshError="1"/>
      <sheetData sheetId="1">
        <row r="8">
          <cell r="D8">
            <v>0.06</v>
          </cell>
        </row>
        <row r="11">
          <cell r="D11">
            <v>0.1</v>
          </cell>
        </row>
        <row r="12">
          <cell r="D12">
            <v>0.1</v>
          </cell>
        </row>
        <row r="16">
          <cell r="D16">
            <v>0.16</v>
          </cell>
        </row>
        <row r="17">
          <cell r="D17">
            <v>0.2</v>
          </cell>
        </row>
        <row r="21">
          <cell r="D21">
            <v>0.3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L vs SML"/>
      <sheetName val="T1-PPC-MVP"/>
      <sheetName val="Sheet1"/>
    </sheetNames>
    <sheetDataSet>
      <sheetData sheetId="0">
        <row r="6">
          <cell r="H6">
            <v>0.19</v>
          </cell>
          <cell r="I6">
            <v>0.28896366553599784</v>
          </cell>
          <cell r="N6">
            <v>5.9999999999999991E-2</v>
          </cell>
          <cell r="O6">
            <v>0</v>
          </cell>
          <cell r="V6">
            <v>0</v>
          </cell>
          <cell r="W6">
            <v>0.06</v>
          </cell>
        </row>
        <row r="7">
          <cell r="H7">
            <v>0.18399999999999997</v>
          </cell>
          <cell r="I7">
            <v>0.27070278905101813</v>
          </cell>
          <cell r="N7">
            <v>6.6590909090909089E-2</v>
          </cell>
          <cell r="O7">
            <v>1.1675272308219395E-2</v>
          </cell>
          <cell r="V7">
            <v>0.10000000000000014</v>
          </cell>
          <cell r="W7">
            <v>6.6590909090909103E-2</v>
          </cell>
        </row>
        <row r="8">
          <cell r="H8">
            <v>0.17800000000000002</v>
          </cell>
          <cell r="I8">
            <v>0.25262620608321695</v>
          </cell>
          <cell r="N8">
            <v>7.3181818181818181E-2</v>
          </cell>
          <cell r="O8">
            <v>2.3350544616438776E-2</v>
          </cell>
          <cell r="V8">
            <v>0.20000000000000021</v>
          </cell>
          <cell r="W8">
            <v>7.3181818181818195E-2</v>
          </cell>
        </row>
        <row r="9">
          <cell r="H9">
            <v>0.17199999999999999</v>
          </cell>
          <cell r="I9">
            <v>0.23477648945326704</v>
          </cell>
          <cell r="N9">
            <v>7.9772727272727273E-2</v>
          </cell>
          <cell r="O9">
            <v>3.5025816924658157E-2</v>
          </cell>
          <cell r="V9">
            <v>0.30000000000000016</v>
          </cell>
          <cell r="W9">
            <v>7.9772727272727287E-2</v>
          </cell>
        </row>
        <row r="10">
          <cell r="H10">
            <v>0.16600000000000001</v>
          </cell>
          <cell r="I10">
            <v>0.21720957621615125</v>
          </cell>
          <cell r="N10">
            <v>8.6363636363636365E-2</v>
          </cell>
          <cell r="O10">
            <v>4.6701089232877538E-2</v>
          </cell>
          <cell r="V10">
            <v>0.40000000000000013</v>
          </cell>
          <cell r="W10">
            <v>8.6363636363636379E-2</v>
          </cell>
        </row>
        <row r="11">
          <cell r="H11">
            <v>0.16</v>
          </cell>
          <cell r="I11">
            <v>0.2</v>
          </cell>
          <cell r="N11">
            <v>9.2954545454545456E-2</v>
          </cell>
          <cell r="O11">
            <v>5.8376361541096919E-2</v>
          </cell>
          <cell r="V11">
            <v>0.50000000000000011</v>
          </cell>
          <cell r="W11">
            <v>9.2954545454545456E-2</v>
          </cell>
        </row>
        <row r="12">
          <cell r="H12">
            <v>0.15400000000000003</v>
          </cell>
          <cell r="I12">
            <v>0.18324846520503249</v>
          </cell>
          <cell r="N12">
            <v>9.9545454545454548E-2</v>
          </cell>
          <cell r="O12">
            <v>7.00516338493163E-2</v>
          </cell>
          <cell r="V12">
            <v>0.60000000000000009</v>
          </cell>
          <cell r="W12">
            <v>9.9545454545454548E-2</v>
          </cell>
        </row>
        <row r="13">
          <cell r="H13">
            <v>0.14800000000000002</v>
          </cell>
          <cell r="I13">
            <v>0.16709278859364343</v>
          </cell>
          <cell r="N13">
            <v>0.10613636363636364</v>
          </cell>
          <cell r="O13">
            <v>8.1726906157535681E-2</v>
          </cell>
          <cell r="V13">
            <v>0.70000000000000007</v>
          </cell>
          <cell r="W13">
            <v>0.10613636363636364</v>
          </cell>
        </row>
        <row r="14">
          <cell r="H14">
            <v>0.14199999999999999</v>
          </cell>
          <cell r="I14">
            <v>0.15172343260024143</v>
          </cell>
          <cell r="N14">
            <v>0.11272727272727273</v>
          </cell>
          <cell r="O14">
            <v>9.3402178465755076E-2</v>
          </cell>
          <cell r="V14">
            <v>0.80000000000000016</v>
          </cell>
          <cell r="W14">
            <v>0.11272727272727273</v>
          </cell>
        </row>
        <row r="15">
          <cell r="H15">
            <v>0.13600000000000001</v>
          </cell>
          <cell r="I15">
            <v>0.13740451229854136</v>
          </cell>
          <cell r="N15">
            <v>0.11931818181818184</v>
          </cell>
          <cell r="O15">
            <v>0.10507745077397446</v>
          </cell>
          <cell r="V15">
            <v>0.90000000000000036</v>
          </cell>
          <cell r="W15">
            <v>0.11931818181818185</v>
          </cell>
        </row>
        <row r="16">
          <cell r="H16">
            <v>0.13</v>
          </cell>
          <cell r="I16">
            <v>0.12449899597988734</v>
          </cell>
          <cell r="N16">
            <v>0.12590909090909091</v>
          </cell>
          <cell r="O16">
            <v>0.11675272308219384</v>
          </cell>
          <cell r="S16">
            <v>0.12590909090909091</v>
          </cell>
          <cell r="V16">
            <v>1</v>
          </cell>
          <cell r="W16">
            <v>0.12590909090909091</v>
          </cell>
        </row>
        <row r="17">
          <cell r="H17">
            <v>0.124</v>
          </cell>
          <cell r="I17">
            <v>0.11349008767288887</v>
          </cell>
          <cell r="N17">
            <v>0.13250000000000001</v>
          </cell>
          <cell r="O17">
            <v>0.12842799539041322</v>
          </cell>
          <cell r="V17">
            <v>1.1000000000000001</v>
          </cell>
          <cell r="W17">
            <v>0.13250000000000001</v>
          </cell>
        </row>
        <row r="18">
          <cell r="H18">
            <v>0.11799999999999999</v>
          </cell>
          <cell r="I18">
            <v>0.10497618777608568</v>
          </cell>
          <cell r="N18">
            <v>0.13909090909090907</v>
          </cell>
          <cell r="O18">
            <v>0.1401032676986326</v>
          </cell>
          <cell r="V18">
            <v>1.1999999999999995</v>
          </cell>
          <cell r="W18">
            <v>0.13909090909090907</v>
          </cell>
        </row>
        <row r="19">
          <cell r="H19">
            <v>0.11200000000000002</v>
          </cell>
          <cell r="I19">
            <v>9.9599196783909869E-2</v>
          </cell>
          <cell r="N19">
            <v>0.14568181818181819</v>
          </cell>
          <cell r="O19">
            <v>0.15177854000685198</v>
          </cell>
          <cell r="V19">
            <v>1.3</v>
          </cell>
          <cell r="W19">
            <v>0.14568181818181819</v>
          </cell>
        </row>
        <row r="20">
          <cell r="H20">
            <v>0.10600000000000001</v>
          </cell>
          <cell r="I20">
            <v>9.787747442593725E-2</v>
          </cell>
          <cell r="N20">
            <v>0.15227272727272728</v>
          </cell>
          <cell r="O20">
            <v>0.16345381231507136</v>
          </cell>
          <cell r="V20">
            <v>1.4000000000000001</v>
          </cell>
          <cell r="W20">
            <v>0.15227272727272728</v>
          </cell>
        </row>
        <row r="21">
          <cell r="H21">
            <v>0.1</v>
          </cell>
          <cell r="I21">
            <v>0.1</v>
          </cell>
          <cell r="N21">
            <v>0.15886363636363637</v>
          </cell>
          <cell r="O21">
            <v>0.17512908462329074</v>
          </cell>
          <cell r="V21">
            <v>1.5000000000000002</v>
          </cell>
          <cell r="W21">
            <v>0.15886363636363637</v>
          </cell>
        </row>
        <row r="22">
          <cell r="H22">
            <v>9.4E-2</v>
          </cell>
          <cell r="I22">
            <v>0.10573551910309043</v>
          </cell>
          <cell r="N22">
            <v>0.16545454545454547</v>
          </cell>
          <cell r="O22">
            <v>0.18680435693151015</v>
          </cell>
          <cell r="V22">
            <v>1.6</v>
          </cell>
          <cell r="W22">
            <v>0.16545454545454547</v>
          </cell>
        </row>
        <row r="23">
          <cell r="H23">
            <v>8.7999999999999995E-2</v>
          </cell>
          <cell r="I23">
            <v>0.11454256850621085</v>
          </cell>
          <cell r="N23">
            <v>0.17204545454545456</v>
          </cell>
          <cell r="O23">
            <v>0.19847962923972953</v>
          </cell>
          <cell r="V23">
            <v>1.7000000000000002</v>
          </cell>
          <cell r="W23">
            <v>0.17204545454545456</v>
          </cell>
        </row>
        <row r="24">
          <cell r="H24">
            <v>8.199999999999999E-2</v>
          </cell>
          <cell r="I24">
            <v>0.12577758146824103</v>
          </cell>
          <cell r="N24">
            <v>0.17863636363636365</v>
          </cell>
          <cell r="O24">
            <v>0.21015490154794889</v>
          </cell>
          <cell r="V24">
            <v>1.8</v>
          </cell>
          <cell r="W24">
            <v>0.17863636363636365</v>
          </cell>
        </row>
        <row r="25">
          <cell r="H25">
            <v>7.5999999999999984E-2</v>
          </cell>
          <cell r="I25">
            <v>0.13885243966167829</v>
          </cell>
          <cell r="N25">
            <v>0.18522727272727274</v>
          </cell>
          <cell r="O25">
            <v>0.22183017385616829</v>
          </cell>
          <cell r="V25">
            <v>1.9000000000000001</v>
          </cell>
          <cell r="W25">
            <v>0.18522727272727274</v>
          </cell>
        </row>
        <row r="26">
          <cell r="H26">
            <v>6.9999999999999979E-2</v>
          </cell>
          <cell r="I26">
            <v>0.15329709716755896</v>
          </cell>
          <cell r="N26">
            <v>0.19181818181818183</v>
          </cell>
          <cell r="O26">
            <v>0.23350544616438768</v>
          </cell>
          <cell r="V26">
            <v>2</v>
          </cell>
          <cell r="W26">
            <v>0.19181818181818183</v>
          </cell>
        </row>
        <row r="27">
          <cell r="H27">
            <v>6.3999999999999974E-2</v>
          </cell>
          <cell r="I27">
            <v>0.16876018487783198</v>
          </cell>
        </row>
        <row r="29">
          <cell r="N29">
            <v>0.16545454545454547</v>
          </cell>
          <cell r="O29">
            <v>0.18680435693151015</v>
          </cell>
          <cell r="S29">
            <v>0.16545454545454547</v>
          </cell>
          <cell r="T29">
            <v>0.21562900493346218</v>
          </cell>
          <cell r="V29">
            <v>1.6</v>
          </cell>
          <cell r="W29">
            <v>0.16545454545454547</v>
          </cell>
        </row>
        <row r="30">
          <cell r="N30">
            <v>0.16545454545454547</v>
          </cell>
          <cell r="O30">
            <v>0.05</v>
          </cell>
          <cell r="V30">
            <v>0</v>
          </cell>
          <cell r="W30">
            <v>0.16545454545454547</v>
          </cell>
        </row>
        <row r="31">
          <cell r="N31">
            <v>0.16545454545454547</v>
          </cell>
          <cell r="O31">
            <v>0.25</v>
          </cell>
          <cell r="V31">
            <v>1.8</v>
          </cell>
          <cell r="W31">
            <v>0.16545454545454547</v>
          </cell>
        </row>
        <row r="35">
          <cell r="H35">
            <v>0.10631578947368421</v>
          </cell>
          <cell r="I35">
            <v>9.7872096985918589E-2</v>
          </cell>
        </row>
        <row r="39">
          <cell r="H39">
            <v>0.12590909090909091</v>
          </cell>
          <cell r="I39">
            <v>0.11675272308219384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bionicturtle.com/forum/threads/market-portfolio-and-derivative-of-weight.9919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ionicturtle.com/forum/threads/market-portfolio-and-derivative-of-weight.9919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forum.bionicturtle.com/threads/week-in-financial-education-2021-05-24.23840/post-88829" TargetMode="External"/><Relationship Id="rId1" Type="http://schemas.openxmlformats.org/officeDocument/2006/relationships/hyperlink" Target="https://www.bionicturtle.com/forum/threads/market-portfolio-and-derivative-of-weight.9919/" TargetMode="Externa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bionicturtle.com/forum/threads/market-portfolio-and-derivative-of-weight.9919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defaultRowHeight="12.75" x14ac:dyDescent="0.2"/>
  <cols>
    <col min="1" max="1" width="17.42578125" style="97" bestFit="1" customWidth="1"/>
    <col min="2" max="16384" width="9.140625" style="97"/>
  </cols>
  <sheetData>
    <row r="1" spans="1:1" ht="15.75" x14ac:dyDescent="0.25">
      <c r="A1" s="96" t="s">
        <v>64</v>
      </c>
    </row>
    <row r="2" spans="1:1" x14ac:dyDescent="0.2">
      <c r="A2" s="98" t="s">
        <v>45</v>
      </c>
    </row>
    <row r="3" spans="1:1" x14ac:dyDescent="0.2">
      <c r="A3" s="98" t="s">
        <v>47</v>
      </c>
    </row>
    <row r="4" spans="1:1" x14ac:dyDescent="0.2">
      <c r="A4" s="98" t="s">
        <v>48</v>
      </c>
    </row>
    <row r="5" spans="1:1" x14ac:dyDescent="0.2">
      <c r="A5" s="98" t="s">
        <v>66</v>
      </c>
    </row>
    <row r="6" spans="1:1" x14ac:dyDescent="0.2">
      <c r="A6" s="98" t="s">
        <v>109</v>
      </c>
    </row>
    <row r="7" spans="1:1" x14ac:dyDescent="0.2">
      <c r="A7" s="98" t="s">
        <v>110</v>
      </c>
    </row>
    <row r="8" spans="1:1" x14ac:dyDescent="0.2">
      <c r="A8" s="98" t="s">
        <v>111</v>
      </c>
    </row>
    <row r="9" spans="1:1" x14ac:dyDescent="0.2">
      <c r="A9" s="98" t="s">
        <v>112</v>
      </c>
    </row>
    <row r="10" spans="1:1" x14ac:dyDescent="0.2">
      <c r="A10" s="98" t="s">
        <v>113</v>
      </c>
    </row>
    <row r="11" spans="1:1" x14ac:dyDescent="0.2">
      <c r="A11" s="98" t="s">
        <v>114</v>
      </c>
    </row>
    <row r="12" spans="1:1" x14ac:dyDescent="0.2">
      <c r="A12" s="98" t="s">
        <v>46</v>
      </c>
    </row>
    <row r="13" spans="1:1" x14ac:dyDescent="0.2">
      <c r="A13" s="98" t="s">
        <v>65</v>
      </c>
    </row>
    <row r="14" spans="1:1" x14ac:dyDescent="0.2">
      <c r="A14" s="98" t="s">
        <v>115</v>
      </c>
    </row>
    <row r="15" spans="1:1" x14ac:dyDescent="0.2">
      <c r="A15" s="98" t="s">
        <v>57</v>
      </c>
    </row>
    <row r="16" spans="1:1" x14ac:dyDescent="0.2">
      <c r="A16" s="98" t="s">
        <v>116</v>
      </c>
    </row>
  </sheetData>
  <hyperlinks>
    <hyperlink ref="A2" location="'T1-PPC-MVP'!A1" display="'T1-PPC-MVP'!A1" xr:uid="{FD35C38E-294A-48E4-B13F-FA5C64109A92}"/>
    <hyperlink ref="A3" location="'T1-CML'!A1" display="'T1-CML'!A1" xr:uid="{BFA2EB8E-CE97-4EB0-949B-033A59FCB82D}"/>
    <hyperlink ref="A4" location="'T1-SML'!A1" display="'T1-SML'!A1" xr:uid="{0EDB832A-9D70-46B8-9C03-111412F8CFE7}"/>
    <hyperlink ref="A5" location="'arch'!A1" display="'arch'!A1" xr:uid="{D0DF2342-5428-4D80-B108-AF68B442690D}"/>
    <hyperlink ref="A6" location="'BTPQ 20-8-1'!A1" display="'BTPQ 20-8-1'!A1" xr:uid="{1543A490-F798-4617-AFCE-7AF0D49BB5A3}"/>
    <hyperlink ref="A7" location="'BTPQ 20-8-1a'!A1" display="'BTPQ 20-8-1a'!A1" xr:uid="{ED81E333-91DE-4377-AD2C-1A3FF54A1A8B}"/>
    <hyperlink ref="A8" location="'BTPQ 20-8-2'!A1" display="'BTPQ 20-8-2'!A1" xr:uid="{DF9584D4-108D-4E4A-9F2E-08719A48AE2B}"/>
    <hyperlink ref="A9" location="'BTPQ 20-8-3'!A1" display="'BTPQ 20-8-3'!A1" xr:uid="{B19A3105-ADE8-472E-9D5E-B9D253F26207}"/>
    <hyperlink ref="A10" location="'T1-PPC-MVP_alt2'!A1" display="'T1-PPC-MVP_alt2'!A1" xr:uid="{765DC313-FC45-490E-B1F9-A9BC7768072D}"/>
    <hyperlink ref="A11" location="'T1-SML_alt2'!A1" display="'T1-SML_alt2'!A1" xr:uid="{27627591-30F4-469B-99BE-8BFF56E4A51A}"/>
    <hyperlink ref="A12" location="'T1-Market Portfolio'!A1" display="'T1-Market Portfolio'!A1" xr:uid="{40FDE558-8338-4EB8-938D-4FBCE64FCC30}"/>
    <hyperlink ref="A13" location="'BT p1-t2-305-1'!A1" display="'BT p1-t2-305-1'!A1" xr:uid="{DC347016-6F49-4D81-959E-A7C633430054}"/>
    <hyperlink ref="A14" location="'BT p1-t2-305-1_alt2'!A1" display="'BT p1-t2-305-1_alt2'!A1" xr:uid="{B9450287-3A78-44C2-825C-AF1CDAFC1FBB}"/>
    <hyperlink ref="A15" location="'BT p1-t2-305-2'!A1" display="'BT p1-t2-305-2'!A1" xr:uid="{43434D8A-1CC6-4441-B278-1BF41599BA27}"/>
    <hyperlink ref="A16" location="'BT p1-t2-305-2_alt2'!A1" display="'BT p1-t2-305-2_alt2'!A1" xr:uid="{522A427D-765C-47C9-BF11-1B170BE2B83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46E12-90E7-4B24-9D80-B9DD26D73304}">
  <dimension ref="B4:X30"/>
  <sheetViews>
    <sheetView workbookViewId="0">
      <selection activeCell="D21" sqref="D21:H32"/>
    </sheetView>
  </sheetViews>
  <sheetFormatPr defaultRowHeight="12.75" x14ac:dyDescent="0.2"/>
  <cols>
    <col min="4" max="4" width="14.85546875" customWidth="1"/>
    <col min="5" max="5" width="9.140625" customWidth="1"/>
  </cols>
  <sheetData>
    <row r="4" spans="2:24" x14ac:dyDescent="0.2">
      <c r="B4" t="s">
        <v>108</v>
      </c>
      <c r="C4" s="196">
        <v>0.03</v>
      </c>
    </row>
    <row r="5" spans="2:24" x14ac:dyDescent="0.2">
      <c r="B5" t="s">
        <v>26</v>
      </c>
      <c r="C5" s="196">
        <v>0.13</v>
      </c>
    </row>
    <row r="6" spans="2:24" x14ac:dyDescent="0.2">
      <c r="B6" t="s">
        <v>92</v>
      </c>
      <c r="C6" s="183">
        <f>C5-C4</f>
        <v>0.1</v>
      </c>
      <c r="H6" s="197">
        <v>0.5</v>
      </c>
      <c r="I6" s="197">
        <v>0.5</v>
      </c>
      <c r="L6" s="195" t="s">
        <v>85</v>
      </c>
      <c r="M6" s="195" t="s">
        <v>107</v>
      </c>
    </row>
    <row r="7" spans="2:24" x14ac:dyDescent="0.2">
      <c r="B7" t="s">
        <v>106</v>
      </c>
      <c r="C7" s="196">
        <v>0.15</v>
      </c>
    </row>
    <row r="8" spans="2:24" x14ac:dyDescent="0.2">
      <c r="E8" t="s">
        <v>26</v>
      </c>
      <c r="F8" s="195" t="s">
        <v>105</v>
      </c>
      <c r="G8" s="195" t="s">
        <v>104</v>
      </c>
      <c r="H8" s="195" t="s">
        <v>103</v>
      </c>
      <c r="I8" s="195" t="s">
        <v>102</v>
      </c>
    </row>
    <row r="9" spans="2:24" x14ac:dyDescent="0.2">
      <c r="B9" t="s">
        <v>101</v>
      </c>
      <c r="E9" s="186">
        <v>0.13</v>
      </c>
      <c r="F9" s="186">
        <v>0.11</v>
      </c>
      <c r="G9" s="186">
        <v>7.0000000000000007E-2</v>
      </c>
      <c r="H9" s="186">
        <v>0.2</v>
      </c>
      <c r="I9" s="186">
        <v>0.09</v>
      </c>
      <c r="L9" s="194">
        <f>E10/F10</f>
        <v>1.875</v>
      </c>
      <c r="M9" s="193">
        <f>1-L9</f>
        <v>-0.875</v>
      </c>
      <c r="N9" s="192">
        <f>L9*F9+M9*C4</f>
        <v>0.18</v>
      </c>
      <c r="O9">
        <f>(1.875*11%) + (-0.875 * 3%)</f>
        <v>0.18</v>
      </c>
    </row>
    <row r="10" spans="2:24" x14ac:dyDescent="0.2">
      <c r="B10" t="s">
        <v>100</v>
      </c>
      <c r="E10" s="183">
        <f>C7</f>
        <v>0.15</v>
      </c>
      <c r="F10" s="186">
        <v>0.08</v>
      </c>
      <c r="G10" s="186">
        <v>0.2</v>
      </c>
      <c r="H10" s="191">
        <f>H12*$C$7/H6</f>
        <v>0.44999999999999996</v>
      </c>
      <c r="I10" s="191">
        <f>I12*$C$7/I6</f>
        <v>0.12</v>
      </c>
      <c r="L10" s="190">
        <f>F10*L9</f>
        <v>0.15</v>
      </c>
    </row>
    <row r="11" spans="2:24" x14ac:dyDescent="0.2">
      <c r="B11" t="s">
        <v>99</v>
      </c>
      <c r="G11" s="189">
        <v>0.3</v>
      </c>
      <c r="H11">
        <f>H12*$C$7/H10</f>
        <v>0.5</v>
      </c>
      <c r="I11">
        <f>I12*$C$7/I10</f>
        <v>0.5</v>
      </c>
      <c r="V11">
        <v>4</v>
      </c>
    </row>
    <row r="12" spans="2:24" x14ac:dyDescent="0.2">
      <c r="B12" t="s">
        <v>98</v>
      </c>
      <c r="E12" s="188">
        <v>1</v>
      </c>
      <c r="G12">
        <f>G11*G10/C7</f>
        <v>0.4</v>
      </c>
      <c r="H12" s="187">
        <v>1.5</v>
      </c>
      <c r="I12" s="187">
        <v>0.4</v>
      </c>
      <c r="V12">
        <v>5</v>
      </c>
      <c r="W12">
        <f>LN(V12/V11)</f>
        <v>0.22314355131420976</v>
      </c>
    </row>
    <row r="13" spans="2:24" x14ac:dyDescent="0.2">
      <c r="B13" t="s">
        <v>97</v>
      </c>
      <c r="G13" s="183">
        <f>$C$4+G12*$C$6</f>
        <v>7.0000000000000007E-2</v>
      </c>
      <c r="H13" s="183">
        <f>$C$4+H12*$C$6</f>
        <v>0.18000000000000002</v>
      </c>
      <c r="I13" s="183">
        <f>$C$4+I12*$C$6</f>
        <v>7.0000000000000007E-2</v>
      </c>
      <c r="V13">
        <v>6</v>
      </c>
      <c r="W13">
        <f>LN(V13/V12)</f>
        <v>0.18232155679395459</v>
      </c>
      <c r="X13">
        <f>W12+W13</f>
        <v>0.40546510810816438</v>
      </c>
    </row>
    <row r="14" spans="2:24" x14ac:dyDescent="0.2">
      <c r="B14" t="s">
        <v>96</v>
      </c>
      <c r="G14" s="183">
        <f>G9-$C$4-G12*$C$6</f>
        <v>0</v>
      </c>
      <c r="H14" s="183">
        <f>H9-$C$4-H12*$C$6</f>
        <v>1.999999999999999E-2</v>
      </c>
      <c r="I14" s="183">
        <f>I9-$C$4-I12*$C$6</f>
        <v>1.999999999999999E-2</v>
      </c>
      <c r="W14">
        <f>LN(V13/V11)</f>
        <v>0.40546510810816438</v>
      </c>
    </row>
    <row r="16" spans="2:24" x14ac:dyDescent="0.2">
      <c r="G16" s="186">
        <f>C4+G12*C6</f>
        <v>7.0000000000000007E-2</v>
      </c>
    </row>
    <row r="18" spans="2:10" x14ac:dyDescent="0.2">
      <c r="B18" t="s">
        <v>95</v>
      </c>
      <c r="E18" s="183">
        <f>(E9-$C$4)/E12</f>
        <v>0.1</v>
      </c>
      <c r="F18" s="183" t="e">
        <f>(F9-$C$4)/F12</f>
        <v>#DIV/0!</v>
      </c>
      <c r="G18" s="183">
        <f>(G9-$C$4)/G12</f>
        <v>0.10000000000000002</v>
      </c>
      <c r="H18" s="183">
        <f>(H9-$C$4)/H12</f>
        <v>0.11333333333333334</v>
      </c>
      <c r="I18" s="183">
        <f>(I9-$C$4)/I12</f>
        <v>0.15</v>
      </c>
    </row>
    <row r="19" spans="2:10" x14ac:dyDescent="0.2">
      <c r="B19" t="s">
        <v>20</v>
      </c>
      <c r="E19" s="185">
        <f>C6/C7</f>
        <v>0.66666666666666674</v>
      </c>
      <c r="F19" s="184">
        <f>(F9-$C$4)/F10</f>
        <v>1</v>
      </c>
      <c r="G19" s="184">
        <f>(G9-$C$4)/G10</f>
        <v>0.20000000000000004</v>
      </c>
      <c r="H19" s="184">
        <f>(H9-$C$4)/H10</f>
        <v>0.37777777777777782</v>
      </c>
      <c r="I19" s="184">
        <f>(I9-$C$4)/I10</f>
        <v>0.5</v>
      </c>
      <c r="J19" s="184"/>
    </row>
    <row r="20" spans="2:10" x14ac:dyDescent="0.2">
      <c r="B20" t="s">
        <v>94</v>
      </c>
    </row>
    <row r="27" spans="2:10" x14ac:dyDescent="0.2">
      <c r="E27" s="183"/>
    </row>
    <row r="30" spans="2:10" x14ac:dyDescent="0.2">
      <c r="E30" s="183"/>
    </row>
  </sheetData>
  <pageMargins left="0.7" right="0.7" top="0.75" bottom="0.75" header="0.3" footer="0.3"/>
  <pageSetup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L44"/>
  <sheetViews>
    <sheetView showGridLines="0" zoomScale="110" zoomScaleNormal="110" workbookViewId="0"/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11" width="9.7109375" style="1" customWidth="1"/>
    <col min="12" max="16384" width="9.140625" style="1"/>
  </cols>
  <sheetData>
    <row r="2" spans="2:12" s="63" customFormat="1" x14ac:dyDescent="0.2">
      <c r="B2" s="61" t="s">
        <v>69</v>
      </c>
      <c r="C2" s="62"/>
    </row>
    <row r="3" spans="2:12" x14ac:dyDescent="0.2">
      <c r="B3" s="2" t="s">
        <v>73</v>
      </c>
      <c r="C3" s="3"/>
      <c r="D3" s="4"/>
      <c r="E3" s="4"/>
      <c r="F3" s="109"/>
      <c r="G3" s="109"/>
      <c r="H3" s="110" t="s">
        <v>2</v>
      </c>
      <c r="I3" s="110"/>
      <c r="J3" s="111" t="s">
        <v>19</v>
      </c>
    </row>
    <row r="4" spans="2:12" x14ac:dyDescent="0.2">
      <c r="B4" s="2" t="s">
        <v>74</v>
      </c>
      <c r="C4" s="3"/>
      <c r="D4" s="4"/>
      <c r="E4" s="4"/>
      <c r="F4" s="112" t="s">
        <v>3</v>
      </c>
      <c r="G4" s="113" t="s">
        <v>3</v>
      </c>
      <c r="H4" s="114" t="s">
        <v>4</v>
      </c>
      <c r="I4" s="114" t="s">
        <v>5</v>
      </c>
      <c r="J4" s="114" t="s">
        <v>20</v>
      </c>
    </row>
    <row r="5" spans="2:12" x14ac:dyDescent="0.2">
      <c r="B5" s="2" t="s">
        <v>75</v>
      </c>
      <c r="C5" s="3"/>
      <c r="D5" s="4"/>
      <c r="E5" s="4"/>
      <c r="F5" s="115" t="s">
        <v>6</v>
      </c>
      <c r="G5" s="116" t="s">
        <v>7</v>
      </c>
      <c r="H5" s="117" t="s">
        <v>8</v>
      </c>
      <c r="I5" s="117" t="s">
        <v>9</v>
      </c>
      <c r="J5" s="117" t="s">
        <v>21</v>
      </c>
    </row>
    <row r="6" spans="2:12" x14ac:dyDescent="0.2">
      <c r="B6" s="99" t="s">
        <v>0</v>
      </c>
      <c r="C6" s="99"/>
      <c r="D6" s="100"/>
      <c r="E6" s="100"/>
      <c r="F6" s="102">
        <v>-0.5</v>
      </c>
      <c r="G6" s="21">
        <f t="shared" ref="G6:G27" si="0">1-F6</f>
        <v>1.5</v>
      </c>
      <c r="H6" s="22">
        <f t="shared" ref="H6:H27" si="1">F6*$D$11+(1-F6)*$D$16</f>
        <v>0.19</v>
      </c>
      <c r="I6" s="22">
        <f t="shared" ref="I6:I27" si="2">SQRT(F6^2*$D$13+(1-F6)^2*$D$18+2*F6*(1-F6)*$D$22)</f>
        <v>0.28896366553599784</v>
      </c>
      <c r="J6" s="22">
        <f t="shared" ref="J6:J27" si="3">(H6-rf)/I6</f>
        <v>0.44988355113388873</v>
      </c>
    </row>
    <row r="7" spans="2:12" x14ac:dyDescent="0.2">
      <c r="F7" s="23">
        <f>F6+10%</f>
        <v>-0.4</v>
      </c>
      <c r="G7" s="21">
        <f t="shared" si="0"/>
        <v>1.4</v>
      </c>
      <c r="H7" s="22">
        <f t="shared" si="1"/>
        <v>0.18399999999999997</v>
      </c>
      <c r="I7" s="22">
        <f t="shared" si="2"/>
        <v>0.27070278905101813</v>
      </c>
      <c r="J7" s="22">
        <f t="shared" si="3"/>
        <v>0.45806694653829461</v>
      </c>
    </row>
    <row r="8" spans="2:12" x14ac:dyDescent="0.2">
      <c r="C8" s="119" t="s">
        <v>1</v>
      </c>
      <c r="D8" s="101">
        <v>0.06</v>
      </c>
      <c r="F8" s="23">
        <f t="shared" ref="F8:F27" si="4">F7+10%</f>
        <v>-0.30000000000000004</v>
      </c>
      <c r="G8" s="21">
        <f t="shared" si="0"/>
        <v>1.3</v>
      </c>
      <c r="H8" s="22">
        <f t="shared" si="1"/>
        <v>0.17800000000000002</v>
      </c>
      <c r="I8" s="22">
        <f t="shared" si="2"/>
        <v>0.25262620608321695</v>
      </c>
      <c r="J8" s="22">
        <f t="shared" si="3"/>
        <v>0.46709326728015677</v>
      </c>
    </row>
    <row r="9" spans="2:12" x14ac:dyDescent="0.2">
      <c r="F9" s="23">
        <f t="shared" si="4"/>
        <v>-0.20000000000000004</v>
      </c>
      <c r="G9" s="21">
        <f t="shared" si="0"/>
        <v>1.2</v>
      </c>
      <c r="H9" s="22">
        <f t="shared" si="1"/>
        <v>0.17199999999999999</v>
      </c>
      <c r="I9" s="22">
        <f t="shared" si="2"/>
        <v>0.23477648945326704</v>
      </c>
      <c r="J9" s="22">
        <f t="shared" si="3"/>
        <v>0.47704947058718977</v>
      </c>
    </row>
    <row r="10" spans="2:12" x14ac:dyDescent="0.2">
      <c r="B10" s="14" t="s">
        <v>6</v>
      </c>
      <c r="C10" s="15"/>
      <c r="D10" s="16"/>
      <c r="F10" s="23">
        <f t="shared" si="4"/>
        <v>-0.10000000000000003</v>
      </c>
      <c r="G10" s="21">
        <f t="shared" si="0"/>
        <v>1.1000000000000001</v>
      </c>
      <c r="H10" s="22">
        <f t="shared" si="1"/>
        <v>0.16600000000000001</v>
      </c>
      <c r="I10" s="22">
        <f t="shared" si="2"/>
        <v>0.21720957621615125</v>
      </c>
      <c r="J10" s="22">
        <f t="shared" si="3"/>
        <v>0.48800794995574448</v>
      </c>
    </row>
    <row r="11" spans="2:12" x14ac:dyDescent="0.2">
      <c r="B11" s="7" t="s">
        <v>10</v>
      </c>
      <c r="C11" s="7"/>
      <c r="D11" s="101">
        <v>0.1</v>
      </c>
      <c r="F11" s="23">
        <f t="shared" si="4"/>
        <v>0</v>
      </c>
      <c r="G11" s="21">
        <f t="shared" si="0"/>
        <v>1</v>
      </c>
      <c r="H11" s="22">
        <f t="shared" si="1"/>
        <v>0.16</v>
      </c>
      <c r="I11" s="22">
        <f t="shared" si="2"/>
        <v>0.2</v>
      </c>
      <c r="J11" s="22">
        <f t="shared" si="3"/>
        <v>0.5</v>
      </c>
      <c r="L11" s="28"/>
    </row>
    <row r="12" spans="2:12" x14ac:dyDescent="0.2">
      <c r="B12" s="7" t="s">
        <v>11</v>
      </c>
      <c r="C12" s="7"/>
      <c r="D12" s="101">
        <v>0.1</v>
      </c>
      <c r="F12" s="23">
        <f t="shared" si="4"/>
        <v>0.1</v>
      </c>
      <c r="G12" s="21">
        <f t="shared" si="0"/>
        <v>0.9</v>
      </c>
      <c r="H12" s="22">
        <f t="shared" si="1"/>
        <v>0.15400000000000003</v>
      </c>
      <c r="I12" s="22">
        <f t="shared" si="2"/>
        <v>0.18324846520503249</v>
      </c>
      <c r="J12" s="22">
        <f t="shared" si="3"/>
        <v>0.51296473285506428</v>
      </c>
    </row>
    <row r="13" spans="2:12" x14ac:dyDescent="0.2">
      <c r="B13" s="10" t="s">
        <v>12</v>
      </c>
      <c r="D13" s="24">
        <f>D12^2</f>
        <v>1.0000000000000002E-2</v>
      </c>
      <c r="F13" s="23">
        <f t="shared" si="4"/>
        <v>0.2</v>
      </c>
      <c r="G13" s="21">
        <f t="shared" si="0"/>
        <v>0.8</v>
      </c>
      <c r="H13" s="22">
        <f t="shared" si="1"/>
        <v>0.14800000000000002</v>
      </c>
      <c r="I13" s="22">
        <f t="shared" si="2"/>
        <v>0.16709278859364343</v>
      </c>
      <c r="J13" s="22">
        <f t="shared" si="3"/>
        <v>0.52665348840403359</v>
      </c>
    </row>
    <row r="14" spans="2:12" x14ac:dyDescent="0.2">
      <c r="F14" s="23">
        <f t="shared" si="4"/>
        <v>0.30000000000000004</v>
      </c>
      <c r="G14" s="21">
        <f t="shared" si="0"/>
        <v>0.7</v>
      </c>
      <c r="H14" s="22">
        <f t="shared" si="1"/>
        <v>0.14199999999999999</v>
      </c>
      <c r="I14" s="22">
        <f t="shared" si="2"/>
        <v>0.15172343260024143</v>
      </c>
      <c r="J14" s="22">
        <f t="shared" si="3"/>
        <v>0.54045705791571652</v>
      </c>
    </row>
    <row r="15" spans="2:12" x14ac:dyDescent="0.2">
      <c r="B15" s="25" t="s">
        <v>7</v>
      </c>
      <c r="C15" s="26"/>
      <c r="D15" s="16"/>
      <c r="F15" s="23">
        <f t="shared" si="4"/>
        <v>0.4</v>
      </c>
      <c r="G15" s="21">
        <f t="shared" si="0"/>
        <v>0.6</v>
      </c>
      <c r="H15" s="22">
        <f t="shared" si="1"/>
        <v>0.13600000000000001</v>
      </c>
      <c r="I15" s="22">
        <f t="shared" si="2"/>
        <v>0.13740451229854136</v>
      </c>
      <c r="J15" s="22">
        <f t="shared" si="3"/>
        <v>0.55311138425260287</v>
      </c>
    </row>
    <row r="16" spans="2:12" x14ac:dyDescent="0.2">
      <c r="B16" s="7" t="s">
        <v>10</v>
      </c>
      <c r="C16" s="7"/>
      <c r="D16" s="101">
        <v>0.16</v>
      </c>
      <c r="F16" s="23">
        <f t="shared" si="4"/>
        <v>0.5</v>
      </c>
      <c r="G16" s="21">
        <f t="shared" si="0"/>
        <v>0.5</v>
      </c>
      <c r="H16" s="22">
        <f t="shared" si="1"/>
        <v>0.13</v>
      </c>
      <c r="I16" s="22">
        <f t="shared" si="2"/>
        <v>0.12449899597988734</v>
      </c>
      <c r="J16" s="22">
        <f t="shared" si="3"/>
        <v>0.56225353023174918</v>
      </c>
    </row>
    <row r="17" spans="2:10" x14ac:dyDescent="0.2">
      <c r="B17" s="7" t="s">
        <v>11</v>
      </c>
      <c r="C17" s="7"/>
      <c r="D17" s="101">
        <v>0.2</v>
      </c>
      <c r="F17" s="23">
        <f t="shared" si="4"/>
        <v>0.6</v>
      </c>
      <c r="G17" s="21">
        <f t="shared" si="0"/>
        <v>0.4</v>
      </c>
      <c r="H17" s="22">
        <f t="shared" si="1"/>
        <v>0.124</v>
      </c>
      <c r="I17" s="22">
        <f t="shared" si="2"/>
        <v>0.11349008767288887</v>
      </c>
      <c r="J17" s="22">
        <f t="shared" si="3"/>
        <v>0.56392590148019306</v>
      </c>
    </row>
    <row r="18" spans="2:10" x14ac:dyDescent="0.2">
      <c r="B18" s="10" t="s">
        <v>12</v>
      </c>
      <c r="D18" s="29">
        <f>D17^2</f>
        <v>4.0000000000000008E-2</v>
      </c>
      <c r="F18" s="23">
        <f t="shared" si="4"/>
        <v>0.7</v>
      </c>
      <c r="G18" s="21">
        <f t="shared" si="0"/>
        <v>0.30000000000000004</v>
      </c>
      <c r="H18" s="22">
        <f t="shared" si="1"/>
        <v>0.11799999999999999</v>
      </c>
      <c r="I18" s="22">
        <f t="shared" si="2"/>
        <v>0.10497618777608568</v>
      </c>
      <c r="J18" s="22">
        <f t="shared" si="3"/>
        <v>0.55250625145308241</v>
      </c>
    </row>
    <row r="19" spans="2:10" x14ac:dyDescent="0.2">
      <c r="F19" s="23">
        <f t="shared" si="4"/>
        <v>0.79999999999999993</v>
      </c>
      <c r="G19" s="21">
        <f t="shared" si="0"/>
        <v>0.20000000000000007</v>
      </c>
      <c r="H19" s="22">
        <f t="shared" si="1"/>
        <v>0.11200000000000002</v>
      </c>
      <c r="I19" s="22">
        <f t="shared" si="2"/>
        <v>9.9599196783909869E-2</v>
      </c>
      <c r="J19" s="22">
        <f t="shared" si="3"/>
        <v>0.52209256378662439</v>
      </c>
    </row>
    <row r="20" spans="2:10" x14ac:dyDescent="0.2">
      <c r="B20" s="25" t="s">
        <v>68</v>
      </c>
      <c r="C20" s="26"/>
      <c r="D20" s="16"/>
      <c r="F20" s="23">
        <f t="shared" si="4"/>
        <v>0.89999999999999991</v>
      </c>
      <c r="G20" s="21">
        <f t="shared" si="0"/>
        <v>0.10000000000000009</v>
      </c>
      <c r="H20" s="22">
        <f t="shared" si="1"/>
        <v>0.10600000000000001</v>
      </c>
      <c r="I20" s="22">
        <f t="shared" si="2"/>
        <v>9.787747442593725E-2</v>
      </c>
      <c r="J20" s="22">
        <f t="shared" si="3"/>
        <v>0.46997534693038773</v>
      </c>
    </row>
    <row r="21" spans="2:10" x14ac:dyDescent="0.2">
      <c r="B21" s="7" t="s">
        <v>67</v>
      </c>
      <c r="C21" s="7"/>
      <c r="D21" s="103">
        <v>0.3</v>
      </c>
      <c r="F21" s="23">
        <f t="shared" si="4"/>
        <v>0.99999999999999989</v>
      </c>
      <c r="G21" s="21">
        <f t="shared" si="0"/>
        <v>0</v>
      </c>
      <c r="H21" s="22">
        <f t="shared" si="1"/>
        <v>0.1</v>
      </c>
      <c r="I21" s="22">
        <f t="shared" si="2"/>
        <v>0.1</v>
      </c>
      <c r="J21" s="22">
        <f t="shared" si="3"/>
        <v>0.40000000000000008</v>
      </c>
    </row>
    <row r="22" spans="2:10" x14ac:dyDescent="0.2">
      <c r="B22" s="7" t="s">
        <v>15</v>
      </c>
      <c r="C22" s="7"/>
      <c r="D22" s="30">
        <f>D21*D17*D12</f>
        <v>6.0000000000000001E-3</v>
      </c>
      <c r="F22" s="23">
        <f t="shared" si="4"/>
        <v>1.0999999999999999</v>
      </c>
      <c r="G22" s="21">
        <f t="shared" si="0"/>
        <v>-9.9999999999999867E-2</v>
      </c>
      <c r="H22" s="22">
        <f t="shared" si="1"/>
        <v>9.4E-2</v>
      </c>
      <c r="I22" s="22">
        <f t="shared" si="2"/>
        <v>0.10573551910309043</v>
      </c>
      <c r="J22" s="22">
        <f t="shared" si="3"/>
        <v>0.32155703483945214</v>
      </c>
    </row>
    <row r="23" spans="2:10" x14ac:dyDescent="0.2">
      <c r="B23" s="1"/>
      <c r="C23" s="1"/>
      <c r="F23" s="23">
        <f t="shared" si="4"/>
        <v>1.2</v>
      </c>
      <c r="G23" s="21">
        <f t="shared" si="0"/>
        <v>-0.19999999999999996</v>
      </c>
      <c r="H23" s="22">
        <f t="shared" si="1"/>
        <v>8.7999999999999995E-2</v>
      </c>
      <c r="I23" s="22">
        <f t="shared" si="2"/>
        <v>0.11454256850621085</v>
      </c>
      <c r="J23" s="22">
        <f t="shared" si="3"/>
        <v>0.2444506035193523</v>
      </c>
    </row>
    <row r="24" spans="2:10" x14ac:dyDescent="0.2">
      <c r="B24" s="1"/>
      <c r="C24" s="1"/>
      <c r="F24" s="23">
        <f t="shared" si="4"/>
        <v>1.3</v>
      </c>
      <c r="G24" s="21">
        <f t="shared" si="0"/>
        <v>-0.30000000000000004</v>
      </c>
      <c r="H24" s="22">
        <f t="shared" si="1"/>
        <v>8.199999999999999E-2</v>
      </c>
      <c r="I24" s="22">
        <f t="shared" si="2"/>
        <v>0.12577758146824103</v>
      </c>
      <c r="J24" s="22">
        <f t="shared" si="3"/>
        <v>0.17491193377378636</v>
      </c>
    </row>
    <row r="25" spans="2:10" x14ac:dyDescent="0.2">
      <c r="B25" s="1"/>
      <c r="C25" s="1"/>
      <c r="F25" s="23">
        <f t="shared" si="4"/>
        <v>1.4000000000000001</v>
      </c>
      <c r="G25" s="21">
        <f t="shared" si="0"/>
        <v>-0.40000000000000013</v>
      </c>
      <c r="H25" s="22">
        <f t="shared" si="1"/>
        <v>7.5999999999999984E-2</v>
      </c>
      <c r="I25" s="22">
        <f t="shared" si="2"/>
        <v>0.13885243966167829</v>
      </c>
      <c r="J25" s="22">
        <f t="shared" si="3"/>
        <v>0.11523024038313535</v>
      </c>
    </row>
    <row r="26" spans="2:10" x14ac:dyDescent="0.2">
      <c r="B26" s="31"/>
      <c r="C26" s="31"/>
      <c r="D26" s="31"/>
      <c r="F26" s="23">
        <f t="shared" si="4"/>
        <v>1.5000000000000002</v>
      </c>
      <c r="G26" s="21">
        <f t="shared" si="0"/>
        <v>-0.50000000000000022</v>
      </c>
      <c r="H26" s="22">
        <f t="shared" si="1"/>
        <v>6.9999999999999979E-2</v>
      </c>
      <c r="I26" s="22">
        <f t="shared" si="2"/>
        <v>0.15329709716755896</v>
      </c>
      <c r="J26" s="22">
        <f t="shared" si="3"/>
        <v>6.5232807305344073E-2</v>
      </c>
    </row>
    <row r="27" spans="2:10" x14ac:dyDescent="0.2">
      <c r="B27" s="31"/>
      <c r="C27" s="31"/>
      <c r="D27" s="31"/>
      <c r="F27" s="23">
        <f t="shared" si="4"/>
        <v>1.6000000000000003</v>
      </c>
      <c r="G27" s="21">
        <f t="shared" si="0"/>
        <v>-0.60000000000000031</v>
      </c>
      <c r="H27" s="22">
        <f t="shared" si="1"/>
        <v>6.3999999999999974E-2</v>
      </c>
      <c r="I27" s="22">
        <f t="shared" si="2"/>
        <v>0.16876018487783198</v>
      </c>
      <c r="J27" s="22">
        <f t="shared" si="3"/>
        <v>2.3702273156998705E-2</v>
      </c>
    </row>
    <row r="28" spans="2:10" x14ac:dyDescent="0.2">
      <c r="B28" s="32"/>
      <c r="C28" s="32"/>
      <c r="D28" s="31"/>
    </row>
    <row r="29" spans="2:10" x14ac:dyDescent="0.2">
      <c r="B29" s="32"/>
      <c r="C29" s="32"/>
      <c r="D29" s="31"/>
    </row>
    <row r="30" spans="2:10" x14ac:dyDescent="0.2">
      <c r="B30" s="32"/>
      <c r="C30" s="32"/>
      <c r="D30" s="31"/>
    </row>
    <row r="31" spans="2:10" x14ac:dyDescent="0.2">
      <c r="B31" s="32"/>
      <c r="C31" s="32"/>
      <c r="D31" s="31"/>
    </row>
    <row r="32" spans="2:10" x14ac:dyDescent="0.2">
      <c r="B32" s="32"/>
      <c r="C32" s="32"/>
      <c r="D32" s="31"/>
      <c r="F32" s="109"/>
      <c r="G32" s="109"/>
      <c r="H32" s="110" t="s">
        <v>2</v>
      </c>
      <c r="I32" s="110"/>
      <c r="J32" s="111" t="s">
        <v>19</v>
      </c>
    </row>
    <row r="33" spans="2:10" x14ac:dyDescent="0.2">
      <c r="B33" s="32"/>
      <c r="C33" s="32"/>
      <c r="D33" s="31"/>
      <c r="F33" s="112" t="s">
        <v>3</v>
      </c>
      <c r="G33" s="113" t="s">
        <v>3</v>
      </c>
      <c r="H33" s="114" t="s">
        <v>4</v>
      </c>
      <c r="I33" s="114" t="s">
        <v>5</v>
      </c>
      <c r="J33" s="114" t="s">
        <v>20</v>
      </c>
    </row>
    <row r="34" spans="2:10" x14ac:dyDescent="0.2">
      <c r="B34" s="32"/>
      <c r="C34" s="32"/>
      <c r="D34" s="31"/>
      <c r="F34" s="115" t="s">
        <v>6</v>
      </c>
      <c r="G34" s="116" t="s">
        <v>7</v>
      </c>
      <c r="H34" s="117" t="s">
        <v>8</v>
      </c>
      <c r="I34" s="117" t="s">
        <v>9</v>
      </c>
      <c r="J34" s="117" t="s">
        <v>21</v>
      </c>
    </row>
    <row r="35" spans="2:10" x14ac:dyDescent="0.2">
      <c r="B35" s="33"/>
      <c r="C35" s="33"/>
      <c r="D35" s="34"/>
      <c r="F35" s="36" t="s">
        <v>70</v>
      </c>
      <c r="G35" s="4"/>
      <c r="H35" s="4"/>
      <c r="I35" s="4"/>
      <c r="J35" s="4"/>
    </row>
    <row r="36" spans="2:10" x14ac:dyDescent="0.2">
      <c r="B36" s="33"/>
      <c r="C36" s="33"/>
      <c r="D36" s="34"/>
      <c r="F36" s="66">
        <f>F37-1%</f>
        <v>0.88473684210526327</v>
      </c>
      <c r="G36" s="67">
        <f>1-F36</f>
        <v>0.11526315789473673</v>
      </c>
      <c r="H36" s="67">
        <f>F36*$D$11+(1-F36)*$D$16</f>
        <v>0.10691578947368421</v>
      </c>
      <c r="I36" s="68">
        <f>SQRT(F36^2*$D$13+(1-F36)^2*$D$18+2*F36*(1-F36)*$D$22)</f>
        <v>9.7891508152755796E-2</v>
      </c>
      <c r="J36" s="67">
        <f>(H36-rf)/I36</f>
        <v>0.47926311851763481</v>
      </c>
    </row>
    <row r="37" spans="2:10" x14ac:dyDescent="0.2">
      <c r="B37" s="33"/>
      <c r="C37" s="33"/>
      <c r="D37" s="34"/>
      <c r="E37" s="104" t="s">
        <v>76</v>
      </c>
      <c r="F37" s="70">
        <f>(D18-(D21*D12*D17))/(D13+D18-(2*D21*D12*D17))</f>
        <v>0.89473684210526327</v>
      </c>
      <c r="G37" s="22">
        <f>1-F37</f>
        <v>0.10526315789473673</v>
      </c>
      <c r="H37" s="22">
        <f>F37*$D$11+(1-F37)*$D$16</f>
        <v>0.10631578947368421</v>
      </c>
      <c r="I37" s="69">
        <f>SQRT(F37^2*$D$13+(1-F37)^2*$D$18+2*F37*(1-F37)*$D$22)</f>
        <v>9.7872096985918589E-2</v>
      </c>
      <c r="J37" s="22">
        <f>(H37-rf)/I37</f>
        <v>0.47322772169015576</v>
      </c>
    </row>
    <row r="38" spans="2:10" x14ac:dyDescent="0.2">
      <c r="B38" s="33"/>
      <c r="C38" s="33"/>
      <c r="D38" s="34"/>
      <c r="E38" s="104" t="s">
        <v>77</v>
      </c>
      <c r="F38" s="66">
        <f>F37+1%</f>
        <v>0.90473684210526328</v>
      </c>
      <c r="G38" s="67">
        <f>1-F38</f>
        <v>9.5263157894736716E-2</v>
      </c>
      <c r="H38" s="67">
        <f>F38*$D$11+(1-F38)*$D$16</f>
        <v>0.10571578947368421</v>
      </c>
      <c r="I38" s="68">
        <f>SQRT(F38^2*$D$13+(1-F38)^2*$D$18+2*F38*(1-F38)*$D$22)</f>
        <v>9.7891508152755796E-2</v>
      </c>
      <c r="J38" s="67">
        <f>(H38-rf)/I38</f>
        <v>0.4670046497020614</v>
      </c>
    </row>
    <row r="39" spans="2:10" x14ac:dyDescent="0.2">
      <c r="B39" s="32"/>
      <c r="D39" s="35"/>
      <c r="E39" s="104" t="s">
        <v>78</v>
      </c>
      <c r="F39" s="36" t="s">
        <v>71</v>
      </c>
      <c r="G39" s="4"/>
      <c r="H39" s="4"/>
      <c r="I39" s="4"/>
      <c r="J39" s="4"/>
    </row>
    <row r="40" spans="2:10" x14ac:dyDescent="0.2">
      <c r="F40" s="66">
        <f>F41-1%</f>
        <v>0.55818181818181833</v>
      </c>
      <c r="G40" s="67">
        <f>1-F40</f>
        <v>0.44181818181818167</v>
      </c>
      <c r="H40" s="67">
        <f>F40*$D$11+(1-F40)*$D$16</f>
        <v>0.1265090909090909</v>
      </c>
      <c r="I40" s="67">
        <f>SQRT(F40^2*$D$13+(1-F40)^2*$D$18+2*F40*(1-F40)*$D$22)</f>
        <v>0.11782690764544936</v>
      </c>
      <c r="J40" s="68">
        <f>(H40-rf)/I40</f>
        <v>0.56446436758929563</v>
      </c>
    </row>
    <row r="41" spans="2:10" x14ac:dyDescent="0.2">
      <c r="F41" s="71">
        <f>sigma_b*(r_b*rho_ab*sigma_a-rf*rho_ab*sigma_a-r_a*sigma_b+rf*sigma_b)/(-r_b*sigma_a^2+rf*sigma_a^2+r_a*rho_ab*sigma_a*sigma_b+r_b*rho_ab*sigma_a*sigma_b-2*rf*rho_ab*sigma_a*sigma_b-r_a*sigma_b^2+rf*sigma_b^2)</f>
        <v>0.56818181818181834</v>
      </c>
      <c r="G41" s="22">
        <f>1-F41</f>
        <v>0.43181818181818166</v>
      </c>
      <c r="H41" s="22">
        <f>F41*$D$11+(1-F41)*$D$16</f>
        <v>0.12590909090909091</v>
      </c>
      <c r="I41" s="22">
        <f>SQRT(F41^2*$D$13+(1-F41)^2*$D$18+2*F41*(1-F41)*$D$22)</f>
        <v>0.11675272308219384</v>
      </c>
      <c r="J41" s="69">
        <f>(H41-rf)/I41</f>
        <v>0.56451866105676152</v>
      </c>
    </row>
    <row r="42" spans="2:10" x14ac:dyDescent="0.2">
      <c r="F42" s="66">
        <f>F41+1%</f>
        <v>0.57818181818181835</v>
      </c>
      <c r="G42" s="67">
        <f>1-F42</f>
        <v>0.42181818181818165</v>
      </c>
      <c r="H42" s="67">
        <f>F42*$D$11+(1-F42)*$D$16</f>
        <v>0.1253090909090909</v>
      </c>
      <c r="I42" s="67">
        <f>SQRT(F42^2*$D$13+(1-F42)^2*$D$18+2*F42*(1-F42)*$D$22)</f>
        <v>0.11570141109306151</v>
      </c>
      <c r="J42" s="68">
        <f>(H42-rf)/I42</f>
        <v>0.564462354366285</v>
      </c>
    </row>
    <row r="43" spans="2:10" x14ac:dyDescent="0.2">
      <c r="F43" s="1" t="s">
        <v>41</v>
      </c>
    </row>
    <row r="44" spans="2:10" x14ac:dyDescent="0.2">
      <c r="F44" s="65" t="s">
        <v>40</v>
      </c>
      <c r="G44" s="65"/>
      <c r="H44" s="65"/>
    </row>
  </sheetData>
  <hyperlinks>
    <hyperlink ref="F44" r:id="rId1" location="post-45560" xr:uid="{00000000-0004-0000-0500-000000000000}"/>
  </hyperlinks>
  <printOptions headings="1" gridLines="1"/>
  <pageMargins left="0.75" right="0.75" top="1" bottom="1" header="0.5" footer="0.5"/>
  <pageSetup orientation="portrait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U51"/>
  <sheetViews>
    <sheetView showGridLines="0" zoomScaleNormal="100" workbookViewId="0">
      <selection activeCell="O19" sqref="O19"/>
    </sheetView>
  </sheetViews>
  <sheetFormatPr defaultColWidth="9.140625" defaultRowHeight="12.75" x14ac:dyDescent="0.2"/>
  <cols>
    <col min="1" max="1" width="1.28515625" style="1" customWidth="1"/>
    <col min="2" max="2" width="21.140625" style="10" customWidth="1"/>
    <col min="3" max="3" width="8.7109375" style="1" customWidth="1"/>
    <col min="4" max="10" width="6.7109375" style="1" customWidth="1"/>
    <col min="11" max="11" width="7.42578125" style="1" customWidth="1"/>
    <col min="12" max="20" width="9.140625" style="1"/>
    <col min="21" max="21" width="11.7109375" style="1" bestFit="1" customWidth="1"/>
    <col min="22" max="16384" width="9.140625" style="1"/>
  </cols>
  <sheetData>
    <row r="2" spans="2:7" s="63" customFormat="1" x14ac:dyDescent="0.2">
      <c r="B2" s="61" t="s">
        <v>44</v>
      </c>
      <c r="C2" s="62"/>
      <c r="D2" s="62"/>
      <c r="E2" s="62"/>
    </row>
    <row r="3" spans="2:7" x14ac:dyDescent="0.2">
      <c r="B3" s="2" t="s">
        <v>32</v>
      </c>
      <c r="C3" s="4"/>
      <c r="D3" s="4"/>
      <c r="E3" s="4"/>
      <c r="F3" s="4"/>
      <c r="G3" s="4"/>
    </row>
    <row r="5" spans="2:7" x14ac:dyDescent="0.2">
      <c r="B5" s="122" t="s">
        <v>1</v>
      </c>
      <c r="C5" s="123">
        <f>'T1-PPC-MVP'!D8</f>
        <v>0.06</v>
      </c>
    </row>
    <row r="6" spans="2:7" ht="2.25" customHeight="1" x14ac:dyDescent="0.2"/>
    <row r="7" spans="2:7" x14ac:dyDescent="0.2">
      <c r="B7" s="14" t="s">
        <v>6</v>
      </c>
      <c r="C7" s="16"/>
      <c r="D7" s="31"/>
      <c r="E7" s="31"/>
    </row>
    <row r="8" spans="2:7" x14ac:dyDescent="0.2">
      <c r="B8" s="7" t="s">
        <v>10</v>
      </c>
      <c r="C8" s="56">
        <f>'T1-PPC-MVP'!D11</f>
        <v>0.1</v>
      </c>
      <c r="D8" s="56"/>
      <c r="E8" s="56"/>
    </row>
    <row r="9" spans="2:7" x14ac:dyDescent="0.2">
      <c r="B9" s="7" t="s">
        <v>11</v>
      </c>
      <c r="C9" s="56">
        <f>'T1-PPC-MVP'!D12</f>
        <v>0.1</v>
      </c>
      <c r="D9" s="56"/>
      <c r="E9" s="56"/>
    </row>
    <row r="10" spans="2:7" x14ac:dyDescent="0.2">
      <c r="B10" s="10" t="s">
        <v>12</v>
      </c>
      <c r="C10" s="57">
        <f>C9^2</f>
        <v>1.0000000000000002E-2</v>
      </c>
      <c r="D10" s="57"/>
      <c r="E10" s="57"/>
    </row>
    <row r="11" spans="2:7" ht="6" customHeight="1" x14ac:dyDescent="0.2"/>
    <row r="12" spans="2:7" x14ac:dyDescent="0.2">
      <c r="B12" s="25" t="s">
        <v>7</v>
      </c>
      <c r="C12" s="16"/>
      <c r="D12" s="31"/>
      <c r="E12" s="31"/>
    </row>
    <row r="13" spans="2:7" x14ac:dyDescent="0.2">
      <c r="B13" s="7" t="s">
        <v>10</v>
      </c>
      <c r="C13" s="56">
        <f>'T1-PPC-MVP'!D16</f>
        <v>0.16</v>
      </c>
      <c r="D13" s="56"/>
      <c r="E13" s="56"/>
    </row>
    <row r="14" spans="2:7" x14ac:dyDescent="0.2">
      <c r="B14" s="7" t="s">
        <v>11</v>
      </c>
      <c r="C14" s="56">
        <f>'T1-PPC-MVP'!D17</f>
        <v>0.2</v>
      </c>
      <c r="D14" s="56"/>
      <c r="E14" s="56"/>
    </row>
    <row r="15" spans="2:7" x14ac:dyDescent="0.2">
      <c r="B15" s="10" t="s">
        <v>12</v>
      </c>
      <c r="C15" s="57">
        <f>C14^2</f>
        <v>4.0000000000000008E-2</v>
      </c>
      <c r="D15" s="57"/>
      <c r="E15" s="57"/>
    </row>
    <row r="16" spans="2:7" ht="6.75" customHeight="1" x14ac:dyDescent="0.2"/>
    <row r="17" spans="2:21" x14ac:dyDescent="0.2">
      <c r="B17" s="7" t="s">
        <v>33</v>
      </c>
      <c r="C17" s="56">
        <f>'T1-PPC-MVP'!D21</f>
        <v>0.3</v>
      </c>
      <c r="D17" s="56"/>
      <c r="E17" s="56"/>
    </row>
    <row r="18" spans="2:21" x14ac:dyDescent="0.2">
      <c r="B18" s="7" t="s">
        <v>34</v>
      </c>
      <c r="C18" s="30">
        <f>C17*C9*C14</f>
        <v>6.0000000000000001E-3</v>
      </c>
      <c r="D18" s="30"/>
      <c r="E18" s="30"/>
    </row>
    <row r="19" spans="2:21" x14ac:dyDescent="0.2">
      <c r="B19" s="7"/>
      <c r="C19" s="30"/>
      <c r="D19" s="30"/>
      <c r="E19" s="30"/>
    </row>
    <row r="20" spans="2:21" x14ac:dyDescent="0.2">
      <c r="B20" s="120" t="s">
        <v>27</v>
      </c>
      <c r="C20" s="121" t="s">
        <v>28</v>
      </c>
      <c r="U20" s="126">
        <f>6%+1.972*6.59%</f>
        <v>0.18995480000000001</v>
      </c>
    </row>
    <row r="21" spans="2:21" x14ac:dyDescent="0.2">
      <c r="B21" s="10" t="s">
        <v>6</v>
      </c>
      <c r="C21" s="58">
        <f>'T1-PPC-MVP'!F35</f>
        <v>0.56818181818181834</v>
      </c>
      <c r="D21" s="58"/>
      <c r="E21" s="58"/>
    </row>
    <row r="22" spans="2:21" x14ac:dyDescent="0.2">
      <c r="B22" s="10" t="s">
        <v>7</v>
      </c>
      <c r="C22" s="56">
        <f>'T1-PPC-MVP'!G35</f>
        <v>0.43181818181818166</v>
      </c>
      <c r="D22" s="56"/>
      <c r="E22" s="56"/>
    </row>
    <row r="23" spans="2:21" x14ac:dyDescent="0.2">
      <c r="B23" s="10" t="s">
        <v>80</v>
      </c>
      <c r="C23" s="56">
        <f>'T1-PPC-MVP'!H35</f>
        <v>0.12590909090909091</v>
      </c>
      <c r="D23" s="56"/>
      <c r="E23" s="56"/>
    </row>
    <row r="24" spans="2:21" x14ac:dyDescent="0.2">
      <c r="B24" s="10" t="s">
        <v>81</v>
      </c>
      <c r="C24" s="56">
        <f>'T1-PPC-MVP'!I35</f>
        <v>0.11675272308219384</v>
      </c>
      <c r="D24" s="56"/>
      <c r="E24" s="56"/>
    </row>
    <row r="25" spans="2:21" x14ac:dyDescent="0.2">
      <c r="B25" s="7" t="s">
        <v>82</v>
      </c>
      <c r="C25" s="37">
        <f>C23-C5</f>
        <v>6.5909090909090917E-2</v>
      </c>
      <c r="D25" s="37"/>
      <c r="E25" s="37"/>
    </row>
    <row r="27" spans="2:21" x14ac:dyDescent="0.2">
      <c r="B27" s="25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M27" s="17" t="s">
        <v>26</v>
      </c>
    </row>
    <row r="28" spans="2:21" x14ac:dyDescent="0.2">
      <c r="B28" s="47" t="s">
        <v>6</v>
      </c>
      <c r="C28" s="118">
        <v>-2</v>
      </c>
      <c r="D28" s="118">
        <f>C28+0.5</f>
        <v>-1.5</v>
      </c>
      <c r="E28" s="118">
        <f t="shared" ref="E28:K28" si="0">D28+0.5</f>
        <v>-1</v>
      </c>
      <c r="F28" s="118">
        <f t="shared" si="0"/>
        <v>-0.5</v>
      </c>
      <c r="G28" s="118">
        <f t="shared" si="0"/>
        <v>0</v>
      </c>
      <c r="H28" s="118">
        <f t="shared" si="0"/>
        <v>0.5</v>
      </c>
      <c r="I28" s="118">
        <f t="shared" si="0"/>
        <v>1</v>
      </c>
      <c r="J28" s="118">
        <f t="shared" si="0"/>
        <v>1.5</v>
      </c>
      <c r="K28" s="118">
        <f t="shared" si="0"/>
        <v>2</v>
      </c>
      <c r="M28" s="124">
        <f>C21</f>
        <v>0.56818181818181834</v>
      </c>
    </row>
    <row r="29" spans="2:21" x14ac:dyDescent="0.2">
      <c r="B29" s="47" t="s">
        <v>7</v>
      </c>
      <c r="C29" s="52">
        <f t="shared" ref="C29:K29" si="1">1-C28</f>
        <v>3</v>
      </c>
      <c r="D29" s="52">
        <f t="shared" si="1"/>
        <v>2.5</v>
      </c>
      <c r="E29" s="52">
        <f t="shared" si="1"/>
        <v>2</v>
      </c>
      <c r="F29" s="52">
        <f t="shared" si="1"/>
        <v>1.5</v>
      </c>
      <c r="G29" s="52">
        <f t="shared" si="1"/>
        <v>1</v>
      </c>
      <c r="H29" s="52">
        <f t="shared" si="1"/>
        <v>0.5</v>
      </c>
      <c r="I29" s="52">
        <f t="shared" si="1"/>
        <v>0</v>
      </c>
      <c r="J29" s="52">
        <f t="shared" si="1"/>
        <v>-0.5</v>
      </c>
      <c r="K29" s="52">
        <f t="shared" si="1"/>
        <v>-1</v>
      </c>
      <c r="M29" s="52">
        <f t="shared" ref="M29" si="2">1-M28</f>
        <v>0.43181818181818166</v>
      </c>
    </row>
    <row r="30" spans="2:21" x14ac:dyDescent="0.2">
      <c r="B30" s="47"/>
      <c r="C30" s="52"/>
      <c r="D30" s="52"/>
      <c r="E30" s="52"/>
      <c r="F30" s="52"/>
      <c r="G30" s="52"/>
      <c r="H30" s="52"/>
      <c r="I30" s="52"/>
      <c r="J30" s="52"/>
      <c r="K30" s="52"/>
      <c r="M30" s="52"/>
    </row>
    <row r="31" spans="2:21" x14ac:dyDescent="0.2">
      <c r="B31" s="47" t="s">
        <v>36</v>
      </c>
      <c r="C31" s="59">
        <f>C28*$C$21*$C$10+C29*$C$22*$C$15+(C28*$C$22+C29*$C$21)*$C$18</f>
        <v>4.5499999999999992E-2</v>
      </c>
      <c r="D31" s="59">
        <f t="shared" ref="D31:K31" si="3">D28*$C$21*$C$10+D29*$C$22*$C$15+(D28*$C$22+D29*$C$21)*$C$18</f>
        <v>3.9295454545454536E-2</v>
      </c>
      <c r="E31" s="59">
        <f t="shared" si="3"/>
        <v>3.3090909090909087E-2</v>
      </c>
      <c r="F31" s="59">
        <f t="shared" si="3"/>
        <v>2.6886363636363635E-2</v>
      </c>
      <c r="G31" s="59">
        <f t="shared" si="3"/>
        <v>2.068181818181818E-2</v>
      </c>
      <c r="H31" s="59">
        <f t="shared" si="3"/>
        <v>1.4477272727272728E-2</v>
      </c>
      <c r="I31" s="59">
        <f t="shared" si="3"/>
        <v>8.2727272727272753E-3</v>
      </c>
      <c r="J31" s="59">
        <f t="shared" si="3"/>
        <v>2.0681818181818223E-3</v>
      </c>
      <c r="K31" s="59">
        <f t="shared" si="3"/>
        <v>-4.1363636363636307E-3</v>
      </c>
      <c r="M31" s="59">
        <f t="shared" ref="M31" si="4">M28*$C$21*$C$10+M29*$C$22*$C$15+(M28*$C$22+M29*$C$21)*$C$18</f>
        <v>1.3631198347107437E-2</v>
      </c>
      <c r="U31" s="1" t="s">
        <v>19</v>
      </c>
    </row>
    <row r="32" spans="2:21" x14ac:dyDescent="0.2">
      <c r="B32" s="47" t="s">
        <v>37</v>
      </c>
      <c r="C32" s="59">
        <f t="shared" ref="C32:K32" si="5">C31/$C$24^2</f>
        <v>3.3379310344827582</v>
      </c>
      <c r="D32" s="59">
        <f t="shared" si="5"/>
        <v>2.8827586206896547</v>
      </c>
      <c r="E32" s="59">
        <f>E31/$C$24^2</f>
        <v>2.4275862068965517</v>
      </c>
      <c r="F32" s="125">
        <f t="shared" si="5"/>
        <v>1.9724137931034482</v>
      </c>
      <c r="G32" s="59">
        <f t="shared" si="5"/>
        <v>1.5172413793103448</v>
      </c>
      <c r="H32" s="59">
        <f t="shared" si="5"/>
        <v>1.0620689655172415</v>
      </c>
      <c r="I32" s="59">
        <f t="shared" si="5"/>
        <v>0.60689655172413814</v>
      </c>
      <c r="J32" s="59">
        <f t="shared" si="5"/>
        <v>0.15172413793103479</v>
      </c>
      <c r="K32" s="59">
        <f t="shared" si="5"/>
        <v>-0.30344827586206857</v>
      </c>
      <c r="M32" s="59">
        <f t="shared" ref="M32" si="6">M31/$C$24^2</f>
        <v>1</v>
      </c>
    </row>
    <row r="33" spans="2:13" x14ac:dyDescent="0.2">
      <c r="B33" s="47" t="s">
        <v>38</v>
      </c>
      <c r="C33" s="60">
        <f>$C$5+C32*$C$25</f>
        <v>0.28000000000000003</v>
      </c>
      <c r="D33" s="60">
        <f t="shared" ref="D33:M33" si="7">$C$5+D32*$C$25</f>
        <v>0.25</v>
      </c>
      <c r="E33" s="60">
        <f t="shared" si="7"/>
        <v>0.22000000000000003</v>
      </c>
      <c r="F33" s="60">
        <f>$C$5+F32*$C$25</f>
        <v>0.19</v>
      </c>
      <c r="G33" s="60">
        <f t="shared" si="7"/>
        <v>0.16</v>
      </c>
      <c r="H33" s="60">
        <f t="shared" si="7"/>
        <v>0.13</v>
      </c>
      <c r="I33" s="60">
        <f t="shared" si="7"/>
        <v>0.10000000000000002</v>
      </c>
      <c r="J33" s="60">
        <f t="shared" si="7"/>
        <v>7.0000000000000021E-2</v>
      </c>
      <c r="K33" s="60">
        <f t="shared" si="7"/>
        <v>4.0000000000000022E-2</v>
      </c>
      <c r="M33" s="60">
        <f t="shared" si="7"/>
        <v>0.12590909090909091</v>
      </c>
    </row>
    <row r="34" spans="2:13" x14ac:dyDescent="0.2">
      <c r="B34" s="47" t="s">
        <v>39</v>
      </c>
      <c r="C34" s="60">
        <f t="shared" ref="C34:K34" si="8">C28*$C$8+C29*$C$13</f>
        <v>0.27999999999999997</v>
      </c>
      <c r="D34" s="60">
        <f t="shared" si="8"/>
        <v>0.25</v>
      </c>
      <c r="E34" s="60">
        <f t="shared" si="8"/>
        <v>0.22</v>
      </c>
      <c r="F34" s="60">
        <f t="shared" si="8"/>
        <v>0.19</v>
      </c>
      <c r="G34" s="60">
        <f t="shared" si="8"/>
        <v>0.16</v>
      </c>
      <c r="H34" s="60">
        <f t="shared" si="8"/>
        <v>0.13</v>
      </c>
      <c r="I34" s="60">
        <f t="shared" si="8"/>
        <v>0.1</v>
      </c>
      <c r="J34" s="60">
        <f t="shared" si="8"/>
        <v>7.0000000000000021E-2</v>
      </c>
      <c r="K34" s="60">
        <f t="shared" si="8"/>
        <v>4.0000000000000008E-2</v>
      </c>
      <c r="M34" s="60">
        <f t="shared" ref="M34" si="9">M28*$C$8+M29*$C$13</f>
        <v>0.12590909090909091</v>
      </c>
    </row>
    <row r="36" spans="2:13" x14ac:dyDescent="0.2">
      <c r="B36" s="1"/>
    </row>
    <row r="38" spans="2:13" x14ac:dyDescent="0.2">
      <c r="B38" s="1"/>
    </row>
    <row r="39" spans="2:13" x14ac:dyDescent="0.2">
      <c r="B39" s="1"/>
    </row>
    <row r="40" spans="2:13" x14ac:dyDescent="0.2">
      <c r="B40" s="1"/>
    </row>
    <row r="41" spans="2:13" x14ac:dyDescent="0.2">
      <c r="B41" s="1"/>
    </row>
    <row r="42" spans="2:13" x14ac:dyDescent="0.2">
      <c r="B42" s="1"/>
      <c r="L42" s="1" t="s">
        <v>19</v>
      </c>
    </row>
    <row r="43" spans="2:13" x14ac:dyDescent="0.2">
      <c r="B43" s="1"/>
    </row>
    <row r="44" spans="2:13" x14ac:dyDescent="0.2">
      <c r="B44" s="1"/>
    </row>
    <row r="45" spans="2:13" x14ac:dyDescent="0.2">
      <c r="B45" s="1"/>
    </row>
    <row r="46" spans="2:13" x14ac:dyDescent="0.2">
      <c r="B46" s="1"/>
    </row>
    <row r="47" spans="2:13" x14ac:dyDescent="0.2">
      <c r="B47" s="1"/>
    </row>
    <row r="48" spans="2:13" x14ac:dyDescent="0.2">
      <c r="B48" s="1"/>
    </row>
    <row r="49" spans="2:5" x14ac:dyDescent="0.2">
      <c r="B49" s="1"/>
    </row>
    <row r="51" spans="2:5" x14ac:dyDescent="0.2">
      <c r="B51" s="7"/>
      <c r="C51" s="56"/>
      <c r="D51" s="56"/>
      <c r="E51" s="56"/>
    </row>
  </sheetData>
  <printOptions headings="1" gridLines="1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N44"/>
  <sheetViews>
    <sheetView showGridLines="0" zoomScaleNormal="100" workbookViewId="0">
      <selection activeCell="F14" sqref="F14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6" width="7.7109375" style="1" bestFit="1" customWidth="1"/>
    <col min="7" max="7" width="6.85546875" style="1" customWidth="1"/>
    <col min="8" max="8" width="10.140625" style="1" customWidth="1"/>
    <col min="9" max="10" width="9.140625" style="1"/>
    <col min="11" max="11" width="2.7109375" style="1" customWidth="1"/>
    <col min="12" max="16384" width="9.140625" style="1"/>
  </cols>
  <sheetData>
    <row r="2" spans="2:14" s="63" customFormat="1" x14ac:dyDescent="0.2">
      <c r="B2" s="61" t="s">
        <v>43</v>
      </c>
      <c r="C2" s="62"/>
    </row>
    <row r="3" spans="2:14" x14ac:dyDescent="0.2">
      <c r="B3" s="2" t="s">
        <v>18</v>
      </c>
      <c r="C3" s="3"/>
      <c r="D3" s="4"/>
      <c r="E3" s="4"/>
      <c r="F3" s="4"/>
    </row>
    <row r="4" spans="2:14" x14ac:dyDescent="0.2">
      <c r="B4" s="5" t="s">
        <v>0</v>
      </c>
      <c r="C4" s="5"/>
      <c r="D4" s="6"/>
      <c r="E4" s="6"/>
      <c r="F4" s="6"/>
    </row>
    <row r="6" spans="2:14" x14ac:dyDescent="0.2">
      <c r="B6" s="7" t="s">
        <v>1</v>
      </c>
      <c r="C6" s="7"/>
      <c r="D6" s="37">
        <f>'T1-PPC-MVP'!D8</f>
        <v>0.06</v>
      </c>
      <c r="H6" s="9" t="s">
        <v>2</v>
      </c>
      <c r="I6" s="9"/>
      <c r="J6" s="38" t="s">
        <v>19</v>
      </c>
    </row>
    <row r="7" spans="2:14" x14ac:dyDescent="0.2">
      <c r="F7" s="11" t="s">
        <v>3</v>
      </c>
      <c r="G7" s="12" t="s">
        <v>3</v>
      </c>
      <c r="H7" s="13" t="s">
        <v>4</v>
      </c>
      <c r="I7" s="13" t="s">
        <v>5</v>
      </c>
      <c r="J7" s="13" t="s">
        <v>20</v>
      </c>
    </row>
    <row r="8" spans="2:14" x14ac:dyDescent="0.2">
      <c r="B8" s="14" t="s">
        <v>6</v>
      </c>
      <c r="C8" s="15"/>
      <c r="D8" s="16"/>
      <c r="F8" s="17" t="s">
        <v>6</v>
      </c>
      <c r="G8" s="18" t="s">
        <v>7</v>
      </c>
      <c r="H8" s="19" t="s">
        <v>8</v>
      </c>
      <c r="I8" s="19" t="s">
        <v>9</v>
      </c>
      <c r="J8" s="19" t="s">
        <v>21</v>
      </c>
    </row>
    <row r="9" spans="2:14" x14ac:dyDescent="0.2">
      <c r="B9" s="7" t="s">
        <v>10</v>
      </c>
      <c r="C9" s="7"/>
      <c r="D9" s="37">
        <f>'T1-PPC-MVP'!D11</f>
        <v>0.1</v>
      </c>
    </row>
    <row r="10" spans="2:14" x14ac:dyDescent="0.2">
      <c r="B10" s="7" t="s">
        <v>11</v>
      </c>
      <c r="C10" s="7"/>
      <c r="D10" s="37">
        <f>'T1-PPC-MVP'!D12</f>
        <v>0.1</v>
      </c>
      <c r="F10" s="39" t="s">
        <v>17</v>
      </c>
      <c r="G10" s="16"/>
      <c r="H10" s="16"/>
      <c r="I10" s="16"/>
      <c r="J10" s="16"/>
    </row>
    <row r="11" spans="2:14" x14ac:dyDescent="0.2">
      <c r="B11" s="10" t="s">
        <v>12</v>
      </c>
      <c r="D11" s="24">
        <f>D10^2</f>
        <v>1.0000000000000002E-2</v>
      </c>
      <c r="F11" s="40">
        <f>(D16-(D19*D10*D15))/(D11+D16-(2*D19*D10*D15))</f>
        <v>0.89473684210526327</v>
      </c>
      <c r="G11" s="22">
        <f t="shared" ref="G11" si="0">1-F11</f>
        <v>0.10526315789473673</v>
      </c>
      <c r="H11" s="22">
        <f>F11*$D$9+(1-F11)*$D$14</f>
        <v>0.10631578947368421</v>
      </c>
      <c r="I11" s="72">
        <f>SQRT(F11^2*$D$11+(1-F11)^2*$D$16+2*F11*(1-F11)*$D$20)</f>
        <v>9.7872096985918589E-2</v>
      </c>
      <c r="J11" s="22">
        <f t="shared" ref="J11" si="1">(H11-$D$6)/I11</f>
        <v>0.47322772169015576</v>
      </c>
    </row>
    <row r="13" spans="2:14" x14ac:dyDescent="0.2">
      <c r="B13" s="25" t="s">
        <v>7</v>
      </c>
      <c r="C13" s="26"/>
      <c r="D13" s="16"/>
      <c r="F13" s="41" t="s">
        <v>22</v>
      </c>
      <c r="G13" s="42"/>
      <c r="H13" s="42"/>
      <c r="I13" s="42"/>
      <c r="J13" s="42"/>
    </row>
    <row r="14" spans="2:14" x14ac:dyDescent="0.2">
      <c r="B14" s="7" t="s">
        <v>10</v>
      </c>
      <c r="C14" s="7"/>
      <c r="D14" s="37">
        <f>'T1-PPC-MVP'!D16</f>
        <v>0.16</v>
      </c>
      <c r="F14" s="40">
        <f>'T1-PPC-MVP'!F35</f>
        <v>0.56818181818181834</v>
      </c>
      <c r="G14" s="22">
        <f>1-F14</f>
        <v>0.43181818181818166</v>
      </c>
      <c r="H14" s="22">
        <f>F14*$D$9+(1-F14)*$D$14</f>
        <v>0.12590909090909091</v>
      </c>
      <c r="I14" s="22">
        <f>SQRT(F14^2*$D$11+(1-F14)^2*$D$16+2*F14*(1-F14)*$D$20)</f>
        <v>0.11675272308219384</v>
      </c>
      <c r="J14" s="72">
        <f>(H14-$D$6)/I14</f>
        <v>0.56451866105676152</v>
      </c>
      <c r="N14" s="28"/>
    </row>
    <row r="15" spans="2:14" x14ac:dyDescent="0.2">
      <c r="B15" s="7" t="s">
        <v>11</v>
      </c>
      <c r="C15" s="7"/>
      <c r="D15" s="37">
        <f>'T1-PPC-MVP'!D17</f>
        <v>0.2</v>
      </c>
    </row>
    <row r="16" spans="2:14" x14ac:dyDescent="0.2">
      <c r="B16" s="10" t="s">
        <v>12</v>
      </c>
      <c r="D16" s="29">
        <f>D15^2</f>
        <v>4.0000000000000008E-2</v>
      </c>
    </row>
    <row r="18" spans="2:12" x14ac:dyDescent="0.2">
      <c r="B18" s="25" t="s">
        <v>13</v>
      </c>
      <c r="C18" s="26"/>
      <c r="D18" s="16"/>
    </row>
    <row r="19" spans="2:12" x14ac:dyDescent="0.2">
      <c r="B19" s="7" t="s">
        <v>14</v>
      </c>
      <c r="C19" s="7"/>
      <c r="D19" s="37">
        <f>'T1-PPC-MVP'!D21</f>
        <v>0.3</v>
      </c>
      <c r="F19" s="44" t="s">
        <v>23</v>
      </c>
      <c r="G19" s="43"/>
      <c r="H19" s="43"/>
      <c r="I19" s="43"/>
      <c r="J19" s="43"/>
    </row>
    <row r="20" spans="2:12" x14ac:dyDescent="0.2">
      <c r="B20" s="7" t="s">
        <v>15</v>
      </c>
      <c r="C20" s="7"/>
      <c r="D20" s="30">
        <f>D19*D15*D10</f>
        <v>6.0000000000000001E-3</v>
      </c>
      <c r="H20" s="9" t="s">
        <v>2</v>
      </c>
      <c r="I20" s="9"/>
      <c r="J20" s="38" t="s">
        <v>19</v>
      </c>
    </row>
    <row r="21" spans="2:12" x14ac:dyDescent="0.2">
      <c r="B21" s="1"/>
      <c r="C21" s="1"/>
      <c r="F21" s="11" t="s">
        <v>3</v>
      </c>
      <c r="G21" s="12" t="s">
        <v>3</v>
      </c>
      <c r="H21" s="13" t="s">
        <v>4</v>
      </c>
      <c r="I21" s="13" t="s">
        <v>5</v>
      </c>
      <c r="J21" s="13" t="s">
        <v>20</v>
      </c>
    </row>
    <row r="22" spans="2:12" x14ac:dyDescent="0.2">
      <c r="B22" s="1" t="s">
        <v>16</v>
      </c>
      <c r="C22" s="1"/>
      <c r="F22" s="17" t="s">
        <v>6</v>
      </c>
      <c r="G22" s="18" t="s">
        <v>7</v>
      </c>
      <c r="H22" s="19" t="s">
        <v>8</v>
      </c>
      <c r="I22" s="19" t="s">
        <v>9</v>
      </c>
      <c r="J22" s="19" t="s">
        <v>21</v>
      </c>
    </row>
    <row r="23" spans="2:12" x14ac:dyDescent="0.2">
      <c r="B23" s="1"/>
      <c r="C23" s="1"/>
      <c r="F23" s="20">
        <v>-0.5</v>
      </c>
      <c r="G23" s="21">
        <f>1-F23</f>
        <v>1.5</v>
      </c>
      <c r="H23" s="22">
        <f t="shared" ref="H23:H44" si="2">F23*$D$9+(1-F23)*$D$14</f>
        <v>0.19</v>
      </c>
      <c r="I23" s="22">
        <f t="shared" ref="I23:I44" si="3">SQRT(F23^2*$D$11+(1-F23)^2*$D$16+2*F23*(1-F23)*$D$20)</f>
        <v>0.28896366553599784</v>
      </c>
      <c r="J23" s="22">
        <f>(H23-$D$6)/I23</f>
        <v>0.44988355113388873</v>
      </c>
    </row>
    <row r="24" spans="2:12" x14ac:dyDescent="0.2">
      <c r="B24" s="31"/>
      <c r="C24" s="31"/>
      <c r="D24" s="31"/>
      <c r="F24" s="23">
        <f>F23+10%</f>
        <v>-0.4</v>
      </c>
      <c r="G24" s="21">
        <f t="shared" ref="G24:G44" si="4">1-F24</f>
        <v>1.4</v>
      </c>
      <c r="H24" s="22">
        <f t="shared" si="2"/>
        <v>0.18399999999999997</v>
      </c>
      <c r="I24" s="22">
        <f t="shared" si="3"/>
        <v>0.27070278905101813</v>
      </c>
      <c r="J24" s="22">
        <f t="shared" ref="J24:J44" si="5">(H24-$D$6)/I24</f>
        <v>0.45806694653829461</v>
      </c>
    </row>
    <row r="25" spans="2:12" x14ac:dyDescent="0.2">
      <c r="B25" s="31"/>
      <c r="C25" s="31"/>
      <c r="D25" s="31"/>
      <c r="F25" s="23">
        <f t="shared" ref="F25:F44" si="6">F24+10%</f>
        <v>-0.30000000000000004</v>
      </c>
      <c r="G25" s="21">
        <f t="shared" si="4"/>
        <v>1.3</v>
      </c>
      <c r="H25" s="22">
        <f t="shared" si="2"/>
        <v>0.17800000000000002</v>
      </c>
      <c r="I25" s="22">
        <f t="shared" si="3"/>
        <v>0.25262620608321695</v>
      </c>
      <c r="J25" s="22">
        <f t="shared" si="5"/>
        <v>0.46709326728015677</v>
      </c>
    </row>
    <row r="26" spans="2:12" x14ac:dyDescent="0.2">
      <c r="B26" s="32"/>
      <c r="C26" s="32"/>
      <c r="D26" s="31"/>
      <c r="F26" s="23">
        <f t="shared" si="6"/>
        <v>-0.20000000000000004</v>
      </c>
      <c r="G26" s="21">
        <f t="shared" si="4"/>
        <v>1.2</v>
      </c>
      <c r="H26" s="22">
        <f t="shared" si="2"/>
        <v>0.17199999999999999</v>
      </c>
      <c r="I26" s="22">
        <f t="shared" si="3"/>
        <v>0.23477648945326704</v>
      </c>
      <c r="J26" s="22">
        <f t="shared" si="5"/>
        <v>0.47704947058718977</v>
      </c>
    </row>
    <row r="27" spans="2:12" x14ac:dyDescent="0.2">
      <c r="B27" s="33"/>
      <c r="C27" s="33"/>
      <c r="D27" s="34"/>
      <c r="F27" s="23">
        <f t="shared" si="6"/>
        <v>-0.10000000000000003</v>
      </c>
      <c r="G27" s="21">
        <f t="shared" si="4"/>
        <v>1.1000000000000001</v>
      </c>
      <c r="H27" s="22">
        <f t="shared" si="2"/>
        <v>0.16600000000000001</v>
      </c>
      <c r="I27" s="22">
        <f t="shared" si="3"/>
        <v>0.21720957621615125</v>
      </c>
      <c r="J27" s="22">
        <f t="shared" si="5"/>
        <v>0.48800794995574448</v>
      </c>
    </row>
    <row r="28" spans="2:12" x14ac:dyDescent="0.2">
      <c r="B28" s="33"/>
      <c r="C28" s="33"/>
      <c r="D28" s="34"/>
      <c r="F28" s="23">
        <f t="shared" si="6"/>
        <v>0</v>
      </c>
      <c r="G28" s="21">
        <f t="shared" si="4"/>
        <v>1</v>
      </c>
      <c r="H28" s="27">
        <f t="shared" si="2"/>
        <v>0.16</v>
      </c>
      <c r="I28" s="27">
        <f t="shared" si="3"/>
        <v>0.2</v>
      </c>
      <c r="J28" s="22">
        <f t="shared" si="5"/>
        <v>0.5</v>
      </c>
    </row>
    <row r="29" spans="2:12" x14ac:dyDescent="0.2">
      <c r="B29" s="33"/>
      <c r="C29" s="33"/>
      <c r="D29" s="34"/>
      <c r="F29" s="23">
        <f t="shared" si="6"/>
        <v>0.1</v>
      </c>
      <c r="G29" s="21">
        <f t="shared" si="4"/>
        <v>0.9</v>
      </c>
      <c r="H29" s="22">
        <f t="shared" si="2"/>
        <v>0.15400000000000003</v>
      </c>
      <c r="I29" s="22">
        <f t="shared" si="3"/>
        <v>0.18324846520503249</v>
      </c>
      <c r="J29" s="22">
        <f t="shared" si="5"/>
        <v>0.51296473285506428</v>
      </c>
      <c r="L29" s="64"/>
    </row>
    <row r="30" spans="2:12" x14ac:dyDescent="0.2">
      <c r="B30" s="33"/>
      <c r="C30" s="33"/>
      <c r="D30" s="34"/>
      <c r="F30" s="23">
        <f t="shared" si="6"/>
        <v>0.2</v>
      </c>
      <c r="G30" s="21">
        <f t="shared" si="4"/>
        <v>0.8</v>
      </c>
      <c r="H30" s="22">
        <f t="shared" si="2"/>
        <v>0.14800000000000002</v>
      </c>
      <c r="I30" s="22">
        <f t="shared" si="3"/>
        <v>0.16709278859364343</v>
      </c>
      <c r="J30" s="22">
        <f t="shared" si="5"/>
        <v>0.52665348840403359</v>
      </c>
    </row>
    <row r="31" spans="2:12" x14ac:dyDescent="0.2">
      <c r="B31" s="32"/>
      <c r="C31" s="32"/>
      <c r="D31" s="35"/>
      <c r="F31" s="23">
        <f t="shared" si="6"/>
        <v>0.30000000000000004</v>
      </c>
      <c r="G31" s="21">
        <f t="shared" si="4"/>
        <v>0.7</v>
      </c>
      <c r="H31" s="22">
        <f t="shared" si="2"/>
        <v>0.14199999999999999</v>
      </c>
      <c r="I31" s="22">
        <f t="shared" si="3"/>
        <v>0.15172343260024143</v>
      </c>
      <c r="J31" s="22">
        <f t="shared" si="5"/>
        <v>0.54045705791571652</v>
      </c>
    </row>
    <row r="32" spans="2:12" x14ac:dyDescent="0.2">
      <c r="F32" s="23">
        <f t="shared" si="6"/>
        <v>0.4</v>
      </c>
      <c r="G32" s="21">
        <f t="shared" si="4"/>
        <v>0.6</v>
      </c>
      <c r="H32" s="22">
        <f t="shared" si="2"/>
        <v>0.13600000000000001</v>
      </c>
      <c r="I32" s="22">
        <f t="shared" si="3"/>
        <v>0.13740451229854136</v>
      </c>
      <c r="J32" s="22">
        <f t="shared" si="5"/>
        <v>0.55311138425260287</v>
      </c>
    </row>
    <row r="33" spans="6:10" x14ac:dyDescent="0.2">
      <c r="F33" s="23">
        <f t="shared" si="6"/>
        <v>0.5</v>
      </c>
      <c r="G33" s="21">
        <f t="shared" si="4"/>
        <v>0.5</v>
      </c>
      <c r="H33" s="22">
        <f t="shared" si="2"/>
        <v>0.13</v>
      </c>
      <c r="I33" s="22">
        <f t="shared" si="3"/>
        <v>0.12449899597988734</v>
      </c>
      <c r="J33" s="22">
        <f t="shared" si="5"/>
        <v>0.56225353023174918</v>
      </c>
    </row>
    <row r="34" spans="6:10" x14ac:dyDescent="0.2">
      <c r="F34" s="23">
        <f t="shared" si="6"/>
        <v>0.6</v>
      </c>
      <c r="G34" s="21">
        <f t="shared" si="4"/>
        <v>0.4</v>
      </c>
      <c r="H34" s="22">
        <f t="shared" si="2"/>
        <v>0.124</v>
      </c>
      <c r="I34" s="22">
        <f t="shared" si="3"/>
        <v>0.11349008767288887</v>
      </c>
      <c r="J34" s="22">
        <f t="shared" si="5"/>
        <v>0.56392590148019306</v>
      </c>
    </row>
    <row r="35" spans="6:10" x14ac:dyDescent="0.2">
      <c r="F35" s="23">
        <f t="shared" si="6"/>
        <v>0.7</v>
      </c>
      <c r="G35" s="21">
        <f t="shared" si="4"/>
        <v>0.30000000000000004</v>
      </c>
      <c r="H35" s="22">
        <f t="shared" si="2"/>
        <v>0.11799999999999999</v>
      </c>
      <c r="I35" s="22">
        <f t="shared" si="3"/>
        <v>0.10497618777608568</v>
      </c>
      <c r="J35" s="22">
        <f t="shared" si="5"/>
        <v>0.55250625145308241</v>
      </c>
    </row>
    <row r="36" spans="6:10" x14ac:dyDescent="0.2">
      <c r="F36" s="23">
        <f t="shared" si="6"/>
        <v>0.79999999999999993</v>
      </c>
      <c r="G36" s="21">
        <f t="shared" si="4"/>
        <v>0.20000000000000007</v>
      </c>
      <c r="H36" s="22">
        <f t="shared" si="2"/>
        <v>0.11200000000000002</v>
      </c>
      <c r="I36" s="22">
        <f t="shared" si="3"/>
        <v>9.9599196783909869E-2</v>
      </c>
      <c r="J36" s="22">
        <f t="shared" si="5"/>
        <v>0.52209256378662439</v>
      </c>
    </row>
    <row r="37" spans="6:10" x14ac:dyDescent="0.2">
      <c r="F37" s="23">
        <f t="shared" si="6"/>
        <v>0.89999999999999991</v>
      </c>
      <c r="G37" s="21">
        <f t="shared" si="4"/>
        <v>0.10000000000000009</v>
      </c>
      <c r="H37" s="22">
        <f t="shared" si="2"/>
        <v>0.10600000000000001</v>
      </c>
      <c r="I37" s="22">
        <f t="shared" si="3"/>
        <v>9.787747442593725E-2</v>
      </c>
      <c r="J37" s="22">
        <f t="shared" si="5"/>
        <v>0.46997534693038773</v>
      </c>
    </row>
    <row r="38" spans="6:10" x14ac:dyDescent="0.2">
      <c r="F38" s="23">
        <f t="shared" si="6"/>
        <v>0.99999999999999989</v>
      </c>
      <c r="G38" s="21">
        <f t="shared" si="4"/>
        <v>0</v>
      </c>
      <c r="H38" s="22">
        <f t="shared" si="2"/>
        <v>0.1</v>
      </c>
      <c r="I38" s="22">
        <f t="shared" si="3"/>
        <v>0.1</v>
      </c>
      <c r="J38" s="22">
        <f t="shared" si="5"/>
        <v>0.40000000000000008</v>
      </c>
    </row>
    <row r="39" spans="6:10" x14ac:dyDescent="0.2">
      <c r="F39" s="23">
        <f t="shared" si="6"/>
        <v>1.0999999999999999</v>
      </c>
      <c r="G39" s="21">
        <f t="shared" si="4"/>
        <v>-9.9999999999999867E-2</v>
      </c>
      <c r="H39" s="22">
        <f t="shared" si="2"/>
        <v>9.4E-2</v>
      </c>
      <c r="I39" s="22">
        <f t="shared" si="3"/>
        <v>0.10573551910309043</v>
      </c>
      <c r="J39" s="22">
        <f t="shared" si="5"/>
        <v>0.32155703483945214</v>
      </c>
    </row>
    <row r="40" spans="6:10" x14ac:dyDescent="0.2">
      <c r="F40" s="23">
        <f t="shared" si="6"/>
        <v>1.2</v>
      </c>
      <c r="G40" s="21">
        <f t="shared" si="4"/>
        <v>-0.19999999999999996</v>
      </c>
      <c r="H40" s="22">
        <f t="shared" si="2"/>
        <v>8.7999999999999995E-2</v>
      </c>
      <c r="I40" s="22">
        <f t="shared" si="3"/>
        <v>0.11454256850621085</v>
      </c>
      <c r="J40" s="22">
        <f t="shared" si="5"/>
        <v>0.2444506035193523</v>
      </c>
    </row>
    <row r="41" spans="6:10" x14ac:dyDescent="0.2">
      <c r="F41" s="23">
        <f t="shared" si="6"/>
        <v>1.3</v>
      </c>
      <c r="G41" s="21">
        <f t="shared" si="4"/>
        <v>-0.30000000000000004</v>
      </c>
      <c r="H41" s="22">
        <f t="shared" si="2"/>
        <v>8.199999999999999E-2</v>
      </c>
      <c r="I41" s="22">
        <f t="shared" si="3"/>
        <v>0.12577758146824103</v>
      </c>
      <c r="J41" s="22">
        <f t="shared" si="5"/>
        <v>0.17491193377378636</v>
      </c>
    </row>
    <row r="42" spans="6:10" x14ac:dyDescent="0.2">
      <c r="F42" s="23">
        <f t="shared" si="6"/>
        <v>1.4000000000000001</v>
      </c>
      <c r="G42" s="21">
        <f t="shared" si="4"/>
        <v>-0.40000000000000013</v>
      </c>
      <c r="H42" s="22">
        <f t="shared" si="2"/>
        <v>7.5999999999999984E-2</v>
      </c>
      <c r="I42" s="22">
        <f t="shared" si="3"/>
        <v>0.13885243966167829</v>
      </c>
      <c r="J42" s="22">
        <f t="shared" si="5"/>
        <v>0.11523024038313535</v>
      </c>
    </row>
    <row r="43" spans="6:10" x14ac:dyDescent="0.2">
      <c r="F43" s="23">
        <f t="shared" si="6"/>
        <v>1.5000000000000002</v>
      </c>
      <c r="G43" s="21">
        <f t="shared" si="4"/>
        <v>-0.50000000000000022</v>
      </c>
      <c r="H43" s="22">
        <f t="shared" si="2"/>
        <v>6.9999999999999979E-2</v>
      </c>
      <c r="I43" s="22">
        <f t="shared" si="3"/>
        <v>0.15329709716755896</v>
      </c>
      <c r="J43" s="22">
        <f t="shared" si="5"/>
        <v>6.5232807305344073E-2</v>
      </c>
    </row>
    <row r="44" spans="6:10" x14ac:dyDescent="0.2">
      <c r="F44" s="23">
        <f t="shared" si="6"/>
        <v>1.6000000000000003</v>
      </c>
      <c r="G44" s="21">
        <f t="shared" si="4"/>
        <v>-0.60000000000000031</v>
      </c>
      <c r="H44" s="22">
        <f t="shared" si="2"/>
        <v>6.3999999999999974E-2</v>
      </c>
      <c r="I44" s="22">
        <f t="shared" si="3"/>
        <v>0.16876018487783198</v>
      </c>
      <c r="J44" s="22">
        <f t="shared" si="5"/>
        <v>2.3702273156998705E-2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O44"/>
  <sheetViews>
    <sheetView showGridLines="0" zoomScaleNormal="100" workbookViewId="0"/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6" width="7.7109375" style="1" bestFit="1" customWidth="1"/>
    <col min="7" max="7" width="8" style="1" customWidth="1"/>
    <col min="8" max="8" width="10.140625" style="1" customWidth="1"/>
    <col min="9" max="10" width="9.140625" style="1"/>
    <col min="11" max="11" width="2.7109375" style="1" customWidth="1"/>
    <col min="12" max="16384" width="9.140625" style="1"/>
  </cols>
  <sheetData>
    <row r="2" spans="2:14" s="63" customFormat="1" x14ac:dyDescent="0.2">
      <c r="B2" s="61" t="s">
        <v>43</v>
      </c>
      <c r="C2" s="62"/>
    </row>
    <row r="3" spans="2:14" x14ac:dyDescent="0.2">
      <c r="B3" s="2" t="s">
        <v>18</v>
      </c>
      <c r="C3" s="3"/>
      <c r="D3" s="4"/>
      <c r="E3" s="4"/>
      <c r="F3" s="4"/>
    </row>
    <row r="4" spans="2:14" x14ac:dyDescent="0.2">
      <c r="B4" s="5" t="s">
        <v>0</v>
      </c>
      <c r="C4" s="5"/>
      <c r="D4" s="6"/>
      <c r="E4" s="6"/>
      <c r="F4" s="6"/>
    </row>
    <row r="6" spans="2:14" x14ac:dyDescent="0.2">
      <c r="B6" s="7" t="s">
        <v>1</v>
      </c>
      <c r="C6" s="7"/>
      <c r="D6" s="37">
        <f>'T1-PPC-MVP'!D8</f>
        <v>0.06</v>
      </c>
      <c r="H6" s="9" t="s">
        <v>2</v>
      </c>
      <c r="I6" s="9"/>
      <c r="J6" s="38" t="s">
        <v>19</v>
      </c>
    </row>
    <row r="7" spans="2:14" x14ac:dyDescent="0.2">
      <c r="F7" s="11" t="s">
        <v>3</v>
      </c>
      <c r="G7" s="12" t="s">
        <v>3</v>
      </c>
      <c r="H7" s="13" t="s">
        <v>4</v>
      </c>
      <c r="I7" s="13" t="s">
        <v>5</v>
      </c>
      <c r="J7" s="13" t="s">
        <v>20</v>
      </c>
    </row>
    <row r="8" spans="2:14" x14ac:dyDescent="0.2">
      <c r="B8" s="14" t="s">
        <v>6</v>
      </c>
      <c r="C8" s="15"/>
      <c r="D8" s="16"/>
      <c r="F8" s="17" t="s">
        <v>6</v>
      </c>
      <c r="G8" s="18" t="s">
        <v>7</v>
      </c>
      <c r="H8" s="19" t="s">
        <v>8</v>
      </c>
      <c r="I8" s="19" t="s">
        <v>9</v>
      </c>
      <c r="J8" s="19" t="s">
        <v>21</v>
      </c>
    </row>
    <row r="9" spans="2:14" x14ac:dyDescent="0.2">
      <c r="B9" s="7" t="s">
        <v>10</v>
      </c>
      <c r="C9" s="7"/>
      <c r="D9" s="8">
        <f>'T1-PPC-MVP'!D11</f>
        <v>0.1</v>
      </c>
    </row>
    <row r="10" spans="2:14" x14ac:dyDescent="0.2">
      <c r="B10" s="7" t="s">
        <v>11</v>
      </c>
      <c r="C10" s="7"/>
      <c r="D10" s="8">
        <v>0.1</v>
      </c>
      <c r="F10" s="39" t="s">
        <v>17</v>
      </c>
      <c r="G10" s="16"/>
      <c r="H10" s="16"/>
      <c r="I10" s="16"/>
      <c r="J10" s="16"/>
    </row>
    <row r="11" spans="2:14" x14ac:dyDescent="0.2">
      <c r="B11" s="10" t="s">
        <v>12</v>
      </c>
      <c r="D11" s="24">
        <f>D10^2</f>
        <v>1.0000000000000002E-2</v>
      </c>
      <c r="F11" s="40">
        <f>(D16-(D19*D10*D15))/(D11+D16-(2*D19*D10*D15))</f>
        <v>1.2692307692307692</v>
      </c>
      <c r="G11" s="22">
        <f t="shared" ref="G11" si="0">1-F11</f>
        <v>-0.26923076923076916</v>
      </c>
      <c r="H11" s="22">
        <f>F11*$D$9+(1-F11)*$D$14</f>
        <v>7.3076923076923081E-2</v>
      </c>
      <c r="I11" s="72">
        <f>SQRT(F11^2*$D$11+(1-F11)^2*$D$16+2*F11*(1-F11)*$D$20)</f>
        <v>7.8935221737632649E-2</v>
      </c>
      <c r="J11" s="22">
        <f t="shared" ref="J11" si="1">(H11-$D$6)/I11</f>
        <v>0.16566651475799443</v>
      </c>
    </row>
    <row r="13" spans="2:14" x14ac:dyDescent="0.2">
      <c r="B13" s="25" t="s">
        <v>7</v>
      </c>
      <c r="C13" s="26"/>
      <c r="D13" s="16"/>
      <c r="F13" s="41" t="s">
        <v>22</v>
      </c>
      <c r="G13" s="42"/>
      <c r="H13" s="42"/>
      <c r="I13" s="42"/>
      <c r="J13" s="42"/>
    </row>
    <row r="14" spans="2:14" x14ac:dyDescent="0.2">
      <c r="B14" s="7" t="s">
        <v>10</v>
      </c>
      <c r="C14" s="7"/>
      <c r="D14" s="8">
        <v>0.2</v>
      </c>
      <c r="F14" s="40">
        <f>D15*(D14*D19*D10-D6*D19*D15-D9*D15+D6*D15)/(-D14*D10^2+D6*D10^2+D9*D19*D10*D15+D14*D19*D10*D15-2*D6*D19*D10*D15-D9*D15^2+D6*D15^2)</f>
        <v>4.5882352941176503</v>
      </c>
      <c r="G14" s="22">
        <f>1-F14</f>
        <v>-3.5882352941176503</v>
      </c>
      <c r="H14" s="22">
        <f>F14*$D$9+(1-F14)*$D$14</f>
        <v>-0.25882352941176501</v>
      </c>
      <c r="I14" s="22">
        <f>SQRT(F14^2*$D$11+(1-F14)^2*$D$16+2*F14*(1-F14)*$D$20)</f>
        <v>0.76095459990342917</v>
      </c>
      <c r="J14" s="72">
        <f>(H14-$D$6)/I14</f>
        <v>-0.41897838511289121</v>
      </c>
      <c r="N14" s="28"/>
    </row>
    <row r="15" spans="2:14" x14ac:dyDescent="0.2">
      <c r="B15" s="7" t="s">
        <v>11</v>
      </c>
      <c r="C15" s="7"/>
      <c r="D15" s="8">
        <v>0.3</v>
      </c>
    </row>
    <row r="16" spans="2:14" x14ac:dyDescent="0.2">
      <c r="B16" s="10" t="s">
        <v>12</v>
      </c>
      <c r="D16" s="29">
        <f>D15^2</f>
        <v>0.09</v>
      </c>
      <c r="F16" s="84" t="s">
        <v>49</v>
      </c>
      <c r="G16" s="84"/>
      <c r="H16" s="94">
        <v>100</v>
      </c>
    </row>
    <row r="18" spans="2:15" x14ac:dyDescent="0.2">
      <c r="B18" s="25" t="s">
        <v>13</v>
      </c>
      <c r="C18" s="26"/>
      <c r="D18" s="16"/>
    </row>
    <row r="19" spans="2:15" x14ac:dyDescent="0.2">
      <c r="B19" s="7" t="s">
        <v>14</v>
      </c>
      <c r="C19" s="7"/>
      <c r="D19" s="73">
        <v>0.8</v>
      </c>
    </row>
    <row r="20" spans="2:15" x14ac:dyDescent="0.2">
      <c r="B20" s="7" t="s">
        <v>15</v>
      </c>
      <c r="C20" s="7"/>
      <c r="D20" s="30">
        <f>D19*D15*D10</f>
        <v>2.4E-2</v>
      </c>
      <c r="H20" s="9" t="s">
        <v>2</v>
      </c>
      <c r="I20" s="9"/>
      <c r="J20" s="38" t="s">
        <v>19</v>
      </c>
    </row>
    <row r="21" spans="2:15" x14ac:dyDescent="0.2">
      <c r="B21" s="1"/>
      <c r="C21" s="1"/>
      <c r="F21" s="11" t="s">
        <v>3</v>
      </c>
      <c r="G21" s="12" t="s">
        <v>3</v>
      </c>
      <c r="H21" s="13" t="s">
        <v>4</v>
      </c>
      <c r="I21" s="13" t="s">
        <v>5</v>
      </c>
      <c r="J21" s="13" t="s">
        <v>20</v>
      </c>
      <c r="L21" s="79" t="s">
        <v>51</v>
      </c>
      <c r="M21" s="79"/>
      <c r="O21" s="13" t="s">
        <v>55</v>
      </c>
    </row>
    <row r="22" spans="2:15" x14ac:dyDescent="0.2">
      <c r="B22" s="1" t="s">
        <v>16</v>
      </c>
      <c r="C22" s="1"/>
      <c r="F22" s="17" t="s">
        <v>6</v>
      </c>
      <c r="G22" s="18" t="s">
        <v>7</v>
      </c>
      <c r="H22" s="19" t="s">
        <v>8</v>
      </c>
      <c r="I22" s="19" t="s">
        <v>9</v>
      </c>
      <c r="J22" s="19" t="s">
        <v>21</v>
      </c>
      <c r="L22" s="19" t="s">
        <v>6</v>
      </c>
      <c r="M22" s="19" t="s">
        <v>7</v>
      </c>
      <c r="N22" s="19" t="s">
        <v>54</v>
      </c>
      <c r="O22" s="19" t="s">
        <v>56</v>
      </c>
    </row>
    <row r="23" spans="2:15" x14ac:dyDescent="0.2">
      <c r="B23" s="1"/>
      <c r="C23" s="1"/>
      <c r="F23" s="20">
        <v>-0.5</v>
      </c>
      <c r="G23" s="21">
        <f>1-F23</f>
        <v>1.5</v>
      </c>
      <c r="H23" s="22">
        <f t="shared" ref="H23:H44" si="2">F23*$D$9+(1-F23)*$D$14</f>
        <v>0.25000000000000006</v>
      </c>
      <c r="I23" s="22">
        <f t="shared" ref="I23:I44" si="3">SQRT(F23^2*$D$11+(1-F23)^2*$D$16+2*F23*(1-F23)*$D$20)</f>
        <v>0.41109609582188927</v>
      </c>
      <c r="J23" s="22">
        <f>(H23-$D$6)/I23</f>
        <v>0.4621790426399941</v>
      </c>
      <c r="L23" s="74">
        <f>F23*$H$16</f>
        <v>-50</v>
      </c>
      <c r="M23" s="74">
        <f>G23*$H$16</f>
        <v>150</v>
      </c>
      <c r="N23" s="75">
        <f>L23*$D$9+M23*$D$14</f>
        <v>25</v>
      </c>
      <c r="O23" s="76">
        <f>SQRT(L23^2*$D$11+M23^2*$D$16+2*L23*M23*$D$10*$D$15*$D$19)</f>
        <v>41.109609582188931</v>
      </c>
    </row>
    <row r="24" spans="2:15" x14ac:dyDescent="0.2">
      <c r="B24" s="31"/>
      <c r="C24" s="31"/>
      <c r="D24" s="31"/>
      <c r="F24" s="23">
        <f>F23+10%</f>
        <v>-0.4</v>
      </c>
      <c r="G24" s="21">
        <f t="shared" ref="G24:G44" si="4">1-F24</f>
        <v>1.4</v>
      </c>
      <c r="H24" s="22">
        <f t="shared" si="2"/>
        <v>0.23999999999999996</v>
      </c>
      <c r="I24" s="22">
        <f t="shared" si="3"/>
        <v>0.38874155939389859</v>
      </c>
      <c r="J24" s="22">
        <f t="shared" ref="J24:J44" si="5">(H24-$D$6)/I24</f>
        <v>0.46303256148029209</v>
      </c>
      <c r="L24" s="74">
        <f t="shared" ref="L24:L44" si="6">F24*$H$16</f>
        <v>-40</v>
      </c>
      <c r="M24" s="74">
        <f t="shared" ref="M24:M44" si="7">G24*$H$16</f>
        <v>140</v>
      </c>
      <c r="N24" s="75">
        <f t="shared" ref="N24:N44" si="8">L24*$D$9+M24*$D$14</f>
        <v>24</v>
      </c>
      <c r="O24" s="76">
        <f t="shared" ref="O24:O44" si="9">SQRT(L24^2*$D$11+M24^2*$D$16+2*L24*M24*$D$10*$D$15*$D$19)</f>
        <v>38.874155939389858</v>
      </c>
    </row>
    <row r="25" spans="2:15" x14ac:dyDescent="0.2">
      <c r="B25" s="31"/>
      <c r="C25" s="31"/>
      <c r="D25" s="31"/>
      <c r="F25" s="23">
        <f t="shared" ref="F25:F44" si="10">F24+10%</f>
        <v>-0.30000000000000004</v>
      </c>
      <c r="G25" s="21">
        <f t="shared" si="4"/>
        <v>1.3</v>
      </c>
      <c r="H25" s="22">
        <f t="shared" si="2"/>
        <v>0.23</v>
      </c>
      <c r="I25" s="22">
        <f t="shared" si="3"/>
        <v>0.36644235563045929</v>
      </c>
      <c r="J25" s="22">
        <f t="shared" si="5"/>
        <v>0.46392017022027171</v>
      </c>
      <c r="L25" s="74">
        <f t="shared" si="6"/>
        <v>-30.000000000000004</v>
      </c>
      <c r="M25" s="74">
        <f t="shared" si="7"/>
        <v>130</v>
      </c>
      <c r="N25" s="75">
        <f t="shared" si="8"/>
        <v>23</v>
      </c>
      <c r="O25" s="76">
        <f t="shared" si="9"/>
        <v>36.644235563045932</v>
      </c>
    </row>
    <row r="26" spans="2:15" x14ac:dyDescent="0.2">
      <c r="B26" s="32"/>
      <c r="C26" s="32"/>
      <c r="D26" s="31"/>
      <c r="F26" s="23">
        <f t="shared" si="10"/>
        <v>-0.20000000000000004</v>
      </c>
      <c r="G26" s="21">
        <f t="shared" si="4"/>
        <v>1.2</v>
      </c>
      <c r="H26" s="22">
        <f t="shared" si="2"/>
        <v>0.21999999999999997</v>
      </c>
      <c r="I26" s="22">
        <f t="shared" si="3"/>
        <v>0.34420923869065456</v>
      </c>
      <c r="J26" s="22">
        <f t="shared" si="5"/>
        <v>0.46483354313390207</v>
      </c>
      <c r="L26" s="74">
        <f t="shared" si="6"/>
        <v>-20.000000000000004</v>
      </c>
      <c r="M26" s="74">
        <f t="shared" si="7"/>
        <v>120</v>
      </c>
      <c r="N26" s="75">
        <f t="shared" si="8"/>
        <v>22</v>
      </c>
      <c r="O26" s="76">
        <f t="shared" si="9"/>
        <v>34.420923869065454</v>
      </c>
    </row>
    <row r="27" spans="2:15" x14ac:dyDescent="0.2">
      <c r="B27" s="33"/>
      <c r="C27" s="33"/>
      <c r="D27" s="34"/>
      <c r="F27" s="23">
        <f t="shared" si="10"/>
        <v>-0.10000000000000003</v>
      </c>
      <c r="G27" s="21">
        <f t="shared" si="4"/>
        <v>1.1000000000000001</v>
      </c>
      <c r="H27" s="22">
        <f t="shared" si="2"/>
        <v>0.21000000000000002</v>
      </c>
      <c r="I27" s="22">
        <f t="shared" si="3"/>
        <v>0.32205589576966293</v>
      </c>
      <c r="J27" s="22">
        <f t="shared" si="5"/>
        <v>0.46575765874903058</v>
      </c>
      <c r="L27" s="74">
        <f t="shared" si="6"/>
        <v>-10.000000000000004</v>
      </c>
      <c r="M27" s="74">
        <f t="shared" si="7"/>
        <v>110.00000000000001</v>
      </c>
      <c r="N27" s="75">
        <f t="shared" si="8"/>
        <v>21.000000000000004</v>
      </c>
      <c r="O27" s="76">
        <f t="shared" si="9"/>
        <v>32.205589576966297</v>
      </c>
    </row>
    <row r="28" spans="2:15" x14ac:dyDescent="0.2">
      <c r="B28" s="33"/>
      <c r="C28" s="33"/>
      <c r="D28" s="34"/>
      <c r="F28" s="23">
        <f t="shared" si="10"/>
        <v>0</v>
      </c>
      <c r="G28" s="21">
        <f t="shared" si="4"/>
        <v>1</v>
      </c>
      <c r="H28" s="22">
        <f t="shared" si="2"/>
        <v>0.2</v>
      </c>
      <c r="I28" s="22">
        <f t="shared" si="3"/>
        <v>0.3</v>
      </c>
      <c r="J28" s="22">
        <f t="shared" si="5"/>
        <v>0.46666666666666673</v>
      </c>
      <c r="L28" s="74">
        <f t="shared" si="6"/>
        <v>0</v>
      </c>
      <c r="M28" s="74">
        <f t="shared" si="7"/>
        <v>100</v>
      </c>
      <c r="N28" s="75">
        <f t="shared" si="8"/>
        <v>20</v>
      </c>
      <c r="O28" s="76">
        <f t="shared" si="9"/>
        <v>30</v>
      </c>
    </row>
    <row r="29" spans="2:15" x14ac:dyDescent="0.2">
      <c r="B29" s="33"/>
      <c r="C29" s="33"/>
      <c r="D29" s="34"/>
      <c r="F29" s="23">
        <f t="shared" si="10"/>
        <v>0.1</v>
      </c>
      <c r="G29" s="21">
        <f t="shared" si="4"/>
        <v>0.9</v>
      </c>
      <c r="H29" s="22">
        <f t="shared" si="2"/>
        <v>0.19000000000000003</v>
      </c>
      <c r="I29" s="22">
        <f t="shared" si="3"/>
        <v>0.27806474066303338</v>
      </c>
      <c r="J29" s="22">
        <f t="shared" si="5"/>
        <v>0.46751702387731953</v>
      </c>
      <c r="L29" s="74">
        <f t="shared" si="6"/>
        <v>10</v>
      </c>
      <c r="M29" s="74">
        <f t="shared" si="7"/>
        <v>90</v>
      </c>
      <c r="N29" s="75">
        <f t="shared" si="8"/>
        <v>19</v>
      </c>
      <c r="O29" s="76">
        <f t="shared" si="9"/>
        <v>27.806474066303338</v>
      </c>
    </row>
    <row r="30" spans="2:15" x14ac:dyDescent="0.2">
      <c r="B30" s="33"/>
      <c r="C30" s="33"/>
      <c r="D30" s="34"/>
      <c r="F30" s="23">
        <f t="shared" si="10"/>
        <v>0.2</v>
      </c>
      <c r="G30" s="21">
        <f t="shared" si="4"/>
        <v>0.8</v>
      </c>
      <c r="H30" s="22">
        <f t="shared" si="2"/>
        <v>0.18000000000000005</v>
      </c>
      <c r="I30" s="22">
        <f t="shared" si="3"/>
        <v>0.25628109567426155</v>
      </c>
      <c r="J30" s="22">
        <f t="shared" si="5"/>
        <v>0.46823586298586173</v>
      </c>
      <c r="L30" s="74">
        <f t="shared" si="6"/>
        <v>20</v>
      </c>
      <c r="M30" s="74">
        <f t="shared" si="7"/>
        <v>80</v>
      </c>
      <c r="N30" s="75">
        <f t="shared" si="8"/>
        <v>18</v>
      </c>
      <c r="O30" s="76">
        <f t="shared" si="9"/>
        <v>25.628109567426154</v>
      </c>
    </row>
    <row r="31" spans="2:15" x14ac:dyDescent="0.2">
      <c r="B31" s="32"/>
      <c r="C31" s="32"/>
      <c r="D31" s="35"/>
      <c r="F31" s="23">
        <f t="shared" si="10"/>
        <v>0.30000000000000004</v>
      </c>
      <c r="G31" s="21">
        <f t="shared" si="4"/>
        <v>0.7</v>
      </c>
      <c r="H31" s="22">
        <f t="shared" si="2"/>
        <v>0.16999999999999998</v>
      </c>
      <c r="I31" s="22">
        <f t="shared" si="3"/>
        <v>0.23469128658729532</v>
      </c>
      <c r="J31" s="22">
        <f t="shared" si="5"/>
        <v>0.46870082651783751</v>
      </c>
      <c r="L31" s="74">
        <f t="shared" si="6"/>
        <v>30.000000000000004</v>
      </c>
      <c r="M31" s="74">
        <f t="shared" si="7"/>
        <v>70</v>
      </c>
      <c r="N31" s="75">
        <f t="shared" si="8"/>
        <v>17</v>
      </c>
      <c r="O31" s="76">
        <f t="shared" si="9"/>
        <v>23.469128658729538</v>
      </c>
    </row>
    <row r="32" spans="2:15" x14ac:dyDescent="0.2">
      <c r="F32" s="23">
        <f t="shared" si="10"/>
        <v>0.4</v>
      </c>
      <c r="G32" s="21">
        <f t="shared" si="4"/>
        <v>0.6</v>
      </c>
      <c r="H32" s="22">
        <f t="shared" si="2"/>
        <v>0.16</v>
      </c>
      <c r="I32" s="22">
        <f t="shared" si="3"/>
        <v>0.2133541656495134</v>
      </c>
      <c r="J32" s="22">
        <f t="shared" si="5"/>
        <v>0.46870423033724384</v>
      </c>
      <c r="L32" s="74">
        <f t="shared" si="6"/>
        <v>40</v>
      </c>
      <c r="M32" s="74">
        <f t="shared" si="7"/>
        <v>60</v>
      </c>
      <c r="N32" s="75">
        <f t="shared" si="8"/>
        <v>16</v>
      </c>
      <c r="O32" s="76">
        <f t="shared" si="9"/>
        <v>21.335416564951338</v>
      </c>
    </row>
    <row r="33" spans="6:15" x14ac:dyDescent="0.2">
      <c r="F33" s="23">
        <f t="shared" si="10"/>
        <v>0.5</v>
      </c>
      <c r="G33" s="21">
        <f t="shared" si="4"/>
        <v>0.5</v>
      </c>
      <c r="H33" s="22">
        <f t="shared" si="2"/>
        <v>0.15000000000000002</v>
      </c>
      <c r="I33" s="22">
        <f t="shared" si="3"/>
        <v>0.19235384061671346</v>
      </c>
      <c r="J33" s="22">
        <f t="shared" si="5"/>
        <v>0.46788772041903282</v>
      </c>
      <c r="L33" s="74">
        <f t="shared" si="6"/>
        <v>50</v>
      </c>
      <c r="M33" s="74">
        <f t="shared" si="7"/>
        <v>50</v>
      </c>
      <c r="N33" s="75">
        <f t="shared" si="8"/>
        <v>15</v>
      </c>
      <c r="O33" s="76">
        <f t="shared" si="9"/>
        <v>19.235384061671343</v>
      </c>
    </row>
    <row r="34" spans="6:15" x14ac:dyDescent="0.2">
      <c r="F34" s="23">
        <f t="shared" si="10"/>
        <v>0.6</v>
      </c>
      <c r="G34" s="21">
        <f t="shared" si="4"/>
        <v>0.4</v>
      </c>
      <c r="H34" s="22">
        <f t="shared" si="2"/>
        <v>0.14000000000000001</v>
      </c>
      <c r="I34" s="22">
        <f t="shared" si="3"/>
        <v>0.17181385275931624</v>
      </c>
      <c r="J34" s="22">
        <f t="shared" si="5"/>
        <v>0.46562019717971892</v>
      </c>
      <c r="L34" s="74">
        <f t="shared" si="6"/>
        <v>60</v>
      </c>
      <c r="M34" s="74">
        <f t="shared" si="7"/>
        <v>40</v>
      </c>
      <c r="N34" s="75">
        <f t="shared" si="8"/>
        <v>14</v>
      </c>
      <c r="O34" s="76">
        <f t="shared" si="9"/>
        <v>17.181385275931625</v>
      </c>
    </row>
    <row r="35" spans="6:15" x14ac:dyDescent="0.2">
      <c r="F35" s="23">
        <f t="shared" si="10"/>
        <v>0.7</v>
      </c>
      <c r="G35" s="21">
        <f t="shared" si="4"/>
        <v>0.30000000000000004</v>
      </c>
      <c r="H35" s="22">
        <f t="shared" si="2"/>
        <v>0.13</v>
      </c>
      <c r="I35" s="22">
        <f t="shared" si="3"/>
        <v>0.15192103211866356</v>
      </c>
      <c r="J35" s="22">
        <f t="shared" si="5"/>
        <v>0.46076569533390155</v>
      </c>
      <c r="L35" s="74">
        <f t="shared" si="6"/>
        <v>70</v>
      </c>
      <c r="M35" s="74">
        <f t="shared" si="7"/>
        <v>30.000000000000004</v>
      </c>
      <c r="N35" s="75">
        <f t="shared" si="8"/>
        <v>13</v>
      </c>
      <c r="O35" s="76">
        <f t="shared" si="9"/>
        <v>15.192103211866357</v>
      </c>
    </row>
    <row r="36" spans="6:15" x14ac:dyDescent="0.2">
      <c r="F36" s="23">
        <f t="shared" si="10"/>
        <v>0.79999999999999993</v>
      </c>
      <c r="G36" s="21">
        <f t="shared" si="4"/>
        <v>0.20000000000000007</v>
      </c>
      <c r="H36" s="22">
        <f t="shared" si="2"/>
        <v>0.12000000000000002</v>
      </c>
      <c r="I36" s="22">
        <f t="shared" si="3"/>
        <v>0.13296616110875731</v>
      </c>
      <c r="J36" s="22">
        <f t="shared" si="5"/>
        <v>0.45124262819714028</v>
      </c>
      <c r="L36" s="74">
        <f t="shared" si="6"/>
        <v>80</v>
      </c>
      <c r="M36" s="74">
        <f t="shared" si="7"/>
        <v>20.000000000000007</v>
      </c>
      <c r="N36" s="75">
        <f t="shared" si="8"/>
        <v>12.000000000000002</v>
      </c>
      <c r="O36" s="76">
        <f t="shared" si="9"/>
        <v>13.296616110875732</v>
      </c>
    </row>
    <row r="37" spans="6:15" x14ac:dyDescent="0.2">
      <c r="F37" s="23">
        <f t="shared" si="10"/>
        <v>0.89999999999999991</v>
      </c>
      <c r="G37" s="21">
        <f t="shared" si="4"/>
        <v>0.10000000000000009</v>
      </c>
      <c r="H37" s="22">
        <f t="shared" si="2"/>
        <v>0.11000000000000001</v>
      </c>
      <c r="I37" s="22">
        <f t="shared" si="3"/>
        <v>0.1154123043700281</v>
      </c>
      <c r="J37" s="22">
        <f t="shared" si="5"/>
        <v>0.43322937075836365</v>
      </c>
      <c r="L37" s="74">
        <f t="shared" si="6"/>
        <v>89.999999999999986</v>
      </c>
      <c r="M37" s="74">
        <f t="shared" si="7"/>
        <v>10.000000000000009</v>
      </c>
      <c r="N37" s="75">
        <f t="shared" si="8"/>
        <v>11</v>
      </c>
      <c r="O37" s="76">
        <f t="shared" si="9"/>
        <v>11.54123043700281</v>
      </c>
    </row>
    <row r="38" spans="6:15" x14ac:dyDescent="0.2">
      <c r="F38" s="23">
        <f t="shared" si="10"/>
        <v>0.99999999999999989</v>
      </c>
      <c r="G38" s="21">
        <f t="shared" si="4"/>
        <v>0</v>
      </c>
      <c r="H38" s="22">
        <f t="shared" si="2"/>
        <v>0.10000000000000002</v>
      </c>
      <c r="I38" s="22">
        <f t="shared" si="3"/>
        <v>0.10000000000000003</v>
      </c>
      <c r="J38" s="22">
        <f t="shared" si="5"/>
        <v>0.40000000000000008</v>
      </c>
      <c r="L38" s="74">
        <f t="shared" si="6"/>
        <v>99.999999999999986</v>
      </c>
      <c r="M38" s="74">
        <f t="shared" si="7"/>
        <v>0</v>
      </c>
      <c r="N38" s="75">
        <f t="shared" si="8"/>
        <v>10</v>
      </c>
      <c r="O38" s="76">
        <f t="shared" si="9"/>
        <v>10</v>
      </c>
    </row>
    <row r="39" spans="6:15" x14ac:dyDescent="0.2">
      <c r="F39" s="23">
        <f t="shared" si="10"/>
        <v>1.0999999999999999</v>
      </c>
      <c r="G39" s="21">
        <f t="shared" si="4"/>
        <v>-9.9999999999999867E-2</v>
      </c>
      <c r="H39" s="22">
        <f t="shared" si="2"/>
        <v>9.0000000000000011E-2</v>
      </c>
      <c r="I39" s="22">
        <f t="shared" si="3"/>
        <v>8.7863530545955221E-2</v>
      </c>
      <c r="J39" s="22">
        <f t="shared" si="5"/>
        <v>0.34143859020448908</v>
      </c>
      <c r="L39" s="74">
        <f t="shared" si="6"/>
        <v>109.99999999999999</v>
      </c>
      <c r="M39" s="74">
        <f t="shared" si="7"/>
        <v>-9.9999999999999858</v>
      </c>
      <c r="N39" s="75">
        <f t="shared" si="8"/>
        <v>9.0000000000000036</v>
      </c>
      <c r="O39" s="76">
        <f t="shared" si="9"/>
        <v>8.7863530545955211</v>
      </c>
    </row>
    <row r="40" spans="6:15" x14ac:dyDescent="0.2">
      <c r="F40" s="23">
        <f t="shared" si="10"/>
        <v>1.2</v>
      </c>
      <c r="G40" s="21">
        <f t="shared" si="4"/>
        <v>-0.19999999999999996</v>
      </c>
      <c r="H40" s="22">
        <f t="shared" si="2"/>
        <v>0.08</v>
      </c>
      <c r="I40" s="22">
        <f t="shared" si="3"/>
        <v>8.0498447189992453E-2</v>
      </c>
      <c r="J40" s="22">
        <f t="shared" si="5"/>
        <v>0.2484519974999766</v>
      </c>
      <c r="L40" s="74">
        <f t="shared" si="6"/>
        <v>120</v>
      </c>
      <c r="M40" s="74">
        <f t="shared" si="7"/>
        <v>-19.999999999999996</v>
      </c>
      <c r="N40" s="75">
        <f t="shared" si="8"/>
        <v>8</v>
      </c>
      <c r="O40" s="76">
        <f t="shared" si="9"/>
        <v>8.0498447189992444</v>
      </c>
    </row>
    <row r="41" spans="6:15" x14ac:dyDescent="0.2">
      <c r="F41" s="23">
        <f t="shared" si="10"/>
        <v>1.3</v>
      </c>
      <c r="G41" s="21">
        <f t="shared" si="4"/>
        <v>-0.30000000000000004</v>
      </c>
      <c r="H41" s="22">
        <f t="shared" si="2"/>
        <v>6.9999999999999993E-2</v>
      </c>
      <c r="I41" s="22">
        <f t="shared" si="3"/>
        <v>7.9246451024635831E-2</v>
      </c>
      <c r="J41" s="22">
        <f t="shared" si="5"/>
        <v>0.12618861628126707</v>
      </c>
      <c r="L41" s="74">
        <f t="shared" si="6"/>
        <v>130</v>
      </c>
      <c r="M41" s="74">
        <f t="shared" si="7"/>
        <v>-30.000000000000004</v>
      </c>
      <c r="N41" s="75">
        <f t="shared" si="8"/>
        <v>6.9999999999999991</v>
      </c>
      <c r="O41" s="76">
        <f t="shared" si="9"/>
        <v>7.9246451024635807</v>
      </c>
    </row>
    <row r="42" spans="6:15" x14ac:dyDescent="0.2">
      <c r="F42" s="23">
        <f t="shared" si="10"/>
        <v>1.4000000000000001</v>
      </c>
      <c r="G42" s="21">
        <f t="shared" si="4"/>
        <v>-0.40000000000000013</v>
      </c>
      <c r="H42" s="22">
        <f t="shared" si="2"/>
        <v>5.9999999999999984E-2</v>
      </c>
      <c r="I42" s="22">
        <f t="shared" si="3"/>
        <v>8.4380092438915949E-2</v>
      </c>
      <c r="J42" s="22">
        <f t="shared" si="5"/>
        <v>-1.6446755871784333E-16</v>
      </c>
      <c r="L42" s="74">
        <f t="shared" si="6"/>
        <v>140</v>
      </c>
      <c r="M42" s="74">
        <f t="shared" si="7"/>
        <v>-40.000000000000014</v>
      </c>
      <c r="N42" s="75">
        <f t="shared" si="8"/>
        <v>5.9999999999999964</v>
      </c>
      <c r="O42" s="76">
        <f t="shared" si="9"/>
        <v>8.4380092438915941</v>
      </c>
    </row>
    <row r="43" spans="6:15" x14ac:dyDescent="0.2">
      <c r="F43" s="23">
        <f t="shared" si="10"/>
        <v>1.5000000000000002</v>
      </c>
      <c r="G43" s="21">
        <f t="shared" si="4"/>
        <v>-0.50000000000000022</v>
      </c>
      <c r="H43" s="22">
        <f t="shared" si="2"/>
        <v>4.9999999999999975E-2</v>
      </c>
      <c r="I43" s="22">
        <f t="shared" si="3"/>
        <v>9.4868329805051416E-2</v>
      </c>
      <c r="J43" s="22">
        <f t="shared" si="5"/>
        <v>-0.10540925533894618</v>
      </c>
      <c r="L43" s="74">
        <f t="shared" si="6"/>
        <v>150.00000000000003</v>
      </c>
      <c r="M43" s="74">
        <f t="shared" si="7"/>
        <v>-50.000000000000021</v>
      </c>
      <c r="N43" s="75">
        <f t="shared" si="8"/>
        <v>4.9999999999999982</v>
      </c>
      <c r="O43" s="76">
        <f t="shared" si="9"/>
        <v>9.4868329805051435</v>
      </c>
    </row>
    <row r="44" spans="6:15" x14ac:dyDescent="0.2">
      <c r="F44" s="23">
        <f t="shared" si="10"/>
        <v>1.6000000000000003</v>
      </c>
      <c r="G44" s="21">
        <f t="shared" si="4"/>
        <v>-0.60000000000000031</v>
      </c>
      <c r="H44" s="22">
        <f t="shared" si="2"/>
        <v>3.9999999999999966E-2</v>
      </c>
      <c r="I44" s="22">
        <f t="shared" si="3"/>
        <v>0.10917875251164955</v>
      </c>
      <c r="J44" s="22">
        <f t="shared" si="5"/>
        <v>-0.18318582636182804</v>
      </c>
      <c r="L44" s="74">
        <f t="shared" si="6"/>
        <v>160.00000000000003</v>
      </c>
      <c r="M44" s="74">
        <f t="shared" si="7"/>
        <v>-60.000000000000028</v>
      </c>
      <c r="N44" s="75">
        <f t="shared" si="8"/>
        <v>3.9999999999999964</v>
      </c>
      <c r="O44" s="76">
        <f t="shared" si="9"/>
        <v>10.917875251164952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O44"/>
  <sheetViews>
    <sheetView showGridLines="0" zoomScaleNormal="100" workbookViewId="0">
      <selection activeCell="U36" sqref="U36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6" width="7.7109375" style="1" bestFit="1" customWidth="1"/>
    <col min="7" max="7" width="6.85546875" style="1" customWidth="1"/>
    <col min="8" max="8" width="10.140625" style="1" customWidth="1"/>
    <col min="9" max="10" width="9.140625" style="1"/>
    <col min="11" max="11" width="2.7109375" style="1" customWidth="1"/>
    <col min="12" max="16384" width="9.140625" style="1"/>
  </cols>
  <sheetData>
    <row r="2" spans="2:14" s="63" customFormat="1" x14ac:dyDescent="0.2">
      <c r="B2" s="61" t="s">
        <v>43</v>
      </c>
      <c r="C2" s="62"/>
    </row>
    <row r="3" spans="2:14" x14ac:dyDescent="0.2">
      <c r="B3" s="2" t="s">
        <v>18</v>
      </c>
      <c r="C3" s="3"/>
      <c r="D3" s="4"/>
      <c r="E3" s="4"/>
      <c r="F3" s="4"/>
    </row>
    <row r="4" spans="2:14" x14ac:dyDescent="0.2">
      <c r="B4" s="5" t="s">
        <v>0</v>
      </c>
      <c r="C4" s="5"/>
      <c r="D4" s="6"/>
      <c r="E4" s="6"/>
      <c r="F4" s="6"/>
    </row>
    <row r="6" spans="2:14" x14ac:dyDescent="0.2">
      <c r="B6" s="7" t="s">
        <v>1</v>
      </c>
      <c r="C6" s="7"/>
      <c r="D6" s="37">
        <f>'T1-PPC-MVP'!D8</f>
        <v>0.06</v>
      </c>
      <c r="H6" s="9" t="s">
        <v>2</v>
      </c>
      <c r="I6" s="9"/>
      <c r="J6" s="38" t="s">
        <v>19</v>
      </c>
    </row>
    <row r="7" spans="2:14" x14ac:dyDescent="0.2">
      <c r="F7" s="11" t="s">
        <v>3</v>
      </c>
      <c r="G7" s="12" t="s">
        <v>3</v>
      </c>
      <c r="H7" s="13" t="s">
        <v>4</v>
      </c>
      <c r="I7" s="13" t="s">
        <v>5</v>
      </c>
      <c r="J7" s="13" t="s">
        <v>20</v>
      </c>
    </row>
    <row r="8" spans="2:14" x14ac:dyDescent="0.2">
      <c r="B8" s="14" t="s">
        <v>6</v>
      </c>
      <c r="C8" s="15"/>
      <c r="D8" s="16"/>
      <c r="F8" s="17" t="s">
        <v>6</v>
      </c>
      <c r="G8" s="18" t="s">
        <v>7</v>
      </c>
      <c r="H8" s="19" t="s">
        <v>8</v>
      </c>
      <c r="I8" s="19" t="s">
        <v>9</v>
      </c>
      <c r="J8" s="19" t="s">
        <v>21</v>
      </c>
    </row>
    <row r="9" spans="2:14" x14ac:dyDescent="0.2">
      <c r="B9" s="7" t="s">
        <v>10</v>
      </c>
      <c r="C9" s="7"/>
      <c r="D9" s="8">
        <f>'T1-PPC-MVP'!D11</f>
        <v>0.1</v>
      </c>
    </row>
    <row r="10" spans="2:14" x14ac:dyDescent="0.2">
      <c r="B10" s="7" t="s">
        <v>11</v>
      </c>
      <c r="C10" s="7"/>
      <c r="D10" s="8">
        <f>'BT p1-t2-305-2'!D10</f>
        <v>0.09</v>
      </c>
      <c r="F10" s="39" t="s">
        <v>17</v>
      </c>
      <c r="G10" s="16"/>
      <c r="H10" s="16"/>
      <c r="I10" s="16"/>
      <c r="J10" s="16"/>
    </row>
    <row r="11" spans="2:14" x14ac:dyDescent="0.2">
      <c r="B11" s="10" t="s">
        <v>12</v>
      </c>
      <c r="D11" s="24">
        <f>D10^2</f>
        <v>8.0999999999999996E-3</v>
      </c>
      <c r="F11" s="40">
        <f>(D16-(D19*D10*D15))/(D11+D16-(2*D19*D10*D15))</f>
        <v>0.73529411764705888</v>
      </c>
      <c r="G11" s="22">
        <f t="shared" ref="G11" si="0">1-F11</f>
        <v>0.26470588235294112</v>
      </c>
      <c r="H11" s="22">
        <f>F11*$D$9+(1-F11)*$D$14</f>
        <v>0.12647058823529411</v>
      </c>
      <c r="I11" s="72">
        <f>SQRT(F11^2*$D$11+(1-F11)^2*$D$16+2*F11*(1-F11)*$D$20)</f>
        <v>7.7174363314128983E-2</v>
      </c>
      <c r="J11" s="22">
        <f t="shared" ref="J11" si="1">(H11-$D$6)/I11</f>
        <v>0.86130400538237761</v>
      </c>
    </row>
    <row r="13" spans="2:14" x14ac:dyDescent="0.2">
      <c r="B13" s="25" t="s">
        <v>7</v>
      </c>
      <c r="C13" s="26"/>
      <c r="D13" s="16"/>
      <c r="F13" s="41" t="s">
        <v>22</v>
      </c>
      <c r="G13" s="42"/>
      <c r="H13" s="42"/>
      <c r="I13" s="42"/>
      <c r="J13" s="42"/>
    </row>
    <row r="14" spans="2:14" x14ac:dyDescent="0.2">
      <c r="B14" s="7" t="s">
        <v>10</v>
      </c>
      <c r="C14" s="7"/>
      <c r="D14" s="8">
        <v>0.2</v>
      </c>
      <c r="F14" s="40">
        <f>D15*(D14*D19*D10-D6*D19*D15-D9*D15+D6*D15)/(-D14*D10^2+D6*D10^2+D9*D19*D10*D15+D14*D19*D10*D15-2*D6*D19*D10*D15-D9*D15^2+D6*D15^2)</f>
        <v>0.44247787610619466</v>
      </c>
      <c r="G14" s="22">
        <f>1-F14</f>
        <v>0.55752212389380529</v>
      </c>
      <c r="H14" s="22">
        <f>F14*$D$9+(1-F14)*$D$14</f>
        <v>0.15575221238938053</v>
      </c>
      <c r="I14" s="22">
        <f>SQRT(F14^2*$D$11+(1-F14)^2*$D$16+2*F14*(1-F14)*$D$20)</f>
        <v>9.2625955881873501E-2</v>
      </c>
      <c r="J14" s="72">
        <f>(H14-$D$6)/I14</f>
        <v>1.0337514088544897</v>
      </c>
      <c r="N14" s="28"/>
    </row>
    <row r="15" spans="2:14" x14ac:dyDescent="0.2">
      <c r="B15" s="7" t="s">
        <v>11</v>
      </c>
      <c r="C15" s="7"/>
      <c r="D15" s="8">
        <f>'BT p1-t2-305-2'!D15</f>
        <v>0.15</v>
      </c>
    </row>
    <row r="16" spans="2:14" x14ac:dyDescent="0.2">
      <c r="B16" s="10" t="s">
        <v>12</v>
      </c>
      <c r="D16" s="29">
        <f>D15^2</f>
        <v>2.2499999999999999E-2</v>
      </c>
      <c r="F16" s="84" t="s">
        <v>49</v>
      </c>
      <c r="G16" s="84"/>
      <c r="H16" s="94">
        <v>100</v>
      </c>
    </row>
    <row r="18" spans="2:15" x14ac:dyDescent="0.2">
      <c r="B18" s="25" t="s">
        <v>13</v>
      </c>
      <c r="C18" s="26"/>
      <c r="D18" s="16"/>
    </row>
    <row r="19" spans="2:15" x14ac:dyDescent="0.2">
      <c r="B19" s="7" t="s">
        <v>14</v>
      </c>
      <c r="C19" s="7"/>
      <c r="D19" s="73">
        <v>0</v>
      </c>
    </row>
    <row r="20" spans="2:15" x14ac:dyDescent="0.2">
      <c r="B20" s="7" t="s">
        <v>15</v>
      </c>
      <c r="C20" s="7"/>
      <c r="D20" s="30">
        <f>D19*D15*D10</f>
        <v>0</v>
      </c>
      <c r="H20" s="9" t="s">
        <v>2</v>
      </c>
      <c r="I20" s="9"/>
      <c r="J20" s="38" t="s">
        <v>19</v>
      </c>
    </row>
    <row r="21" spans="2:15" x14ac:dyDescent="0.2">
      <c r="B21" s="1"/>
      <c r="C21" s="1"/>
      <c r="F21" s="11" t="s">
        <v>3</v>
      </c>
      <c r="G21" s="12" t="s">
        <v>3</v>
      </c>
      <c r="H21" s="13" t="s">
        <v>4</v>
      </c>
      <c r="I21" s="13" t="s">
        <v>5</v>
      </c>
      <c r="J21" s="13" t="s">
        <v>20</v>
      </c>
      <c r="L21" s="79" t="s">
        <v>51</v>
      </c>
      <c r="M21" s="79"/>
      <c r="O21" s="13" t="s">
        <v>55</v>
      </c>
    </row>
    <row r="22" spans="2:15" x14ac:dyDescent="0.2">
      <c r="B22" s="1" t="s">
        <v>16</v>
      </c>
      <c r="C22" s="1"/>
      <c r="F22" s="17" t="s">
        <v>6</v>
      </c>
      <c r="G22" s="18" t="s">
        <v>7</v>
      </c>
      <c r="H22" s="19" t="s">
        <v>8</v>
      </c>
      <c r="I22" s="19" t="s">
        <v>9</v>
      </c>
      <c r="J22" s="19" t="s">
        <v>21</v>
      </c>
      <c r="L22" s="19" t="s">
        <v>6</v>
      </c>
      <c r="M22" s="19" t="s">
        <v>7</v>
      </c>
      <c r="N22" s="19" t="s">
        <v>54</v>
      </c>
      <c r="O22" s="19" t="s">
        <v>56</v>
      </c>
    </row>
    <row r="23" spans="2:15" x14ac:dyDescent="0.2">
      <c r="B23" s="1"/>
      <c r="C23" s="1"/>
      <c r="F23" s="20">
        <v>-0.5</v>
      </c>
      <c r="G23" s="21">
        <f>1-F23</f>
        <v>1.5</v>
      </c>
      <c r="H23" s="22">
        <f t="shared" ref="H23:H44" si="2">F23*$D$9+(1-F23)*$D$14</f>
        <v>0.25000000000000006</v>
      </c>
      <c r="I23" s="22">
        <f t="shared" ref="I23:I44" si="3">SQRT(F23^2*$D$11+(1-F23)^2*$D$16+2*F23*(1-F23)*$D$20)</f>
        <v>0.22945587811167531</v>
      </c>
      <c r="J23" s="22">
        <f>(H23-$D$6)/I23</f>
        <v>0.82804590391677735</v>
      </c>
      <c r="L23" s="74">
        <f>F23*$H$16</f>
        <v>-50</v>
      </c>
      <c r="M23" s="74">
        <f>G23*$H$16</f>
        <v>150</v>
      </c>
      <c r="N23" s="75">
        <f>L23*$D$9+M23*$D$14</f>
        <v>25</v>
      </c>
      <c r="O23" s="76">
        <f>SQRT(L23^2*$D$11+M23^2*$D$16+2*L23*M23*$D$10*$D$15*$D$19)</f>
        <v>22.945587811167531</v>
      </c>
    </row>
    <row r="24" spans="2:15" x14ac:dyDescent="0.2">
      <c r="B24" s="31"/>
      <c r="C24" s="31"/>
      <c r="D24" s="31"/>
      <c r="F24" s="23">
        <f>F23+10%</f>
        <v>-0.4</v>
      </c>
      <c r="G24" s="21">
        <f t="shared" ref="G24:G44" si="4">1-F24</f>
        <v>1.4</v>
      </c>
      <c r="H24" s="22">
        <f t="shared" si="2"/>
        <v>0.23999999999999996</v>
      </c>
      <c r="I24" s="22">
        <f t="shared" si="3"/>
        <v>0.21306337085477642</v>
      </c>
      <c r="J24" s="22">
        <f t="shared" ref="J24:J44" si="5">(H24-$D$6)/I24</f>
        <v>0.84481907555422853</v>
      </c>
      <c r="L24" s="74">
        <f t="shared" ref="L24:M44" si="6">F24*$H$16</f>
        <v>-40</v>
      </c>
      <c r="M24" s="74">
        <f t="shared" si="6"/>
        <v>140</v>
      </c>
      <c r="N24" s="75">
        <f t="shared" ref="N24:N44" si="7">L24*$D$9+M24*$D$14</f>
        <v>24</v>
      </c>
      <c r="O24" s="76">
        <f t="shared" ref="O24:O44" si="8">SQRT(L24^2*$D$11+M24^2*$D$16+2*L24*M24*$D$10*$D$15*$D$19)</f>
        <v>21.306337085477644</v>
      </c>
    </row>
    <row r="25" spans="2:15" x14ac:dyDescent="0.2">
      <c r="B25" s="31"/>
      <c r="C25" s="31"/>
      <c r="D25" s="31"/>
      <c r="F25" s="23">
        <f t="shared" ref="F25:F44" si="9">F24+10%</f>
        <v>-0.30000000000000004</v>
      </c>
      <c r="G25" s="21">
        <f t="shared" si="4"/>
        <v>1.3</v>
      </c>
      <c r="H25" s="22">
        <f t="shared" si="2"/>
        <v>0.23</v>
      </c>
      <c r="I25" s="22">
        <f t="shared" si="3"/>
        <v>0.19686035659827503</v>
      </c>
      <c r="J25" s="22">
        <f t="shared" si="5"/>
        <v>0.86355629410400869</v>
      </c>
      <c r="L25" s="74">
        <f t="shared" si="6"/>
        <v>-30.000000000000004</v>
      </c>
      <c r="M25" s="74">
        <f t="shared" si="6"/>
        <v>130</v>
      </c>
      <c r="N25" s="75">
        <f t="shared" si="7"/>
        <v>23</v>
      </c>
      <c r="O25" s="76">
        <f t="shared" si="8"/>
        <v>19.686035659827503</v>
      </c>
    </row>
    <row r="26" spans="2:15" x14ac:dyDescent="0.2">
      <c r="B26" s="32"/>
      <c r="C26" s="32"/>
      <c r="D26" s="31"/>
      <c r="F26" s="23">
        <f t="shared" si="9"/>
        <v>-0.20000000000000004</v>
      </c>
      <c r="G26" s="21">
        <f t="shared" si="4"/>
        <v>1.2</v>
      </c>
      <c r="H26" s="22">
        <f t="shared" si="2"/>
        <v>0.21999999999999997</v>
      </c>
      <c r="I26" s="22">
        <f t="shared" si="3"/>
        <v>0.180897761180176</v>
      </c>
      <c r="J26" s="22">
        <f t="shared" si="5"/>
        <v>0.88447750240887923</v>
      </c>
      <c r="L26" s="74">
        <f t="shared" si="6"/>
        <v>-20.000000000000004</v>
      </c>
      <c r="M26" s="74">
        <f t="shared" si="6"/>
        <v>120</v>
      </c>
      <c r="N26" s="75">
        <f t="shared" si="7"/>
        <v>22</v>
      </c>
      <c r="O26" s="76">
        <f t="shared" si="8"/>
        <v>18.089776118017603</v>
      </c>
    </row>
    <row r="27" spans="2:15" x14ac:dyDescent="0.2">
      <c r="B27" s="33"/>
      <c r="C27" s="33"/>
      <c r="D27" s="34"/>
      <c r="F27" s="23">
        <f t="shared" si="9"/>
        <v>-0.10000000000000003</v>
      </c>
      <c r="G27" s="21">
        <f t="shared" si="4"/>
        <v>1.1000000000000001</v>
      </c>
      <c r="H27" s="22">
        <f t="shared" si="2"/>
        <v>0.21000000000000002</v>
      </c>
      <c r="I27" s="22">
        <f t="shared" si="3"/>
        <v>0.16524527224704494</v>
      </c>
      <c r="J27" s="22">
        <f t="shared" si="5"/>
        <v>0.90774155266449663</v>
      </c>
      <c r="L27" s="74">
        <f t="shared" si="6"/>
        <v>-10.000000000000004</v>
      </c>
      <c r="M27" s="74">
        <f t="shared" si="6"/>
        <v>110.00000000000001</v>
      </c>
      <c r="N27" s="75">
        <f t="shared" si="7"/>
        <v>21.000000000000004</v>
      </c>
      <c r="O27" s="76">
        <f t="shared" si="8"/>
        <v>16.524527224704496</v>
      </c>
    </row>
    <row r="28" spans="2:15" x14ac:dyDescent="0.2">
      <c r="B28" s="33"/>
      <c r="C28" s="33"/>
      <c r="D28" s="34"/>
      <c r="F28" s="23">
        <f t="shared" si="9"/>
        <v>0</v>
      </c>
      <c r="G28" s="21">
        <f t="shared" si="4"/>
        <v>1</v>
      </c>
      <c r="H28" s="22">
        <f t="shared" si="2"/>
        <v>0.2</v>
      </c>
      <c r="I28" s="22">
        <f t="shared" si="3"/>
        <v>0.15</v>
      </c>
      <c r="J28" s="22">
        <f t="shared" si="5"/>
        <v>0.93333333333333346</v>
      </c>
      <c r="L28" s="74">
        <f t="shared" si="6"/>
        <v>0</v>
      </c>
      <c r="M28" s="74">
        <f t="shared" si="6"/>
        <v>100</v>
      </c>
      <c r="N28" s="75">
        <f t="shared" si="7"/>
        <v>20</v>
      </c>
      <c r="O28" s="76">
        <f t="shared" si="8"/>
        <v>15</v>
      </c>
    </row>
    <row r="29" spans="2:15" x14ac:dyDescent="0.2">
      <c r="B29" s="33"/>
      <c r="C29" s="33"/>
      <c r="D29" s="34"/>
      <c r="F29" s="23">
        <f t="shared" si="9"/>
        <v>0.1</v>
      </c>
      <c r="G29" s="21">
        <f t="shared" si="4"/>
        <v>0.9</v>
      </c>
      <c r="H29" s="22">
        <f t="shared" si="2"/>
        <v>0.19000000000000003</v>
      </c>
      <c r="I29" s="22">
        <f t="shared" si="3"/>
        <v>0.13529966740535618</v>
      </c>
      <c r="J29" s="22">
        <f t="shared" si="5"/>
        <v>0.96083015201006805</v>
      </c>
      <c r="L29" s="74">
        <f t="shared" si="6"/>
        <v>10</v>
      </c>
      <c r="M29" s="74">
        <f t="shared" si="6"/>
        <v>90</v>
      </c>
      <c r="N29" s="75">
        <f t="shared" si="7"/>
        <v>19</v>
      </c>
      <c r="O29" s="76">
        <f t="shared" si="8"/>
        <v>13.529966740535617</v>
      </c>
    </row>
    <row r="30" spans="2:15" x14ac:dyDescent="0.2">
      <c r="B30" s="33"/>
      <c r="C30" s="33"/>
      <c r="D30" s="34"/>
      <c r="F30" s="23">
        <f t="shared" si="9"/>
        <v>0.2</v>
      </c>
      <c r="G30" s="21">
        <f t="shared" si="4"/>
        <v>0.8</v>
      </c>
      <c r="H30" s="22">
        <f t="shared" si="2"/>
        <v>0.18000000000000005</v>
      </c>
      <c r="I30" s="22">
        <f t="shared" si="3"/>
        <v>0.12134249049694011</v>
      </c>
      <c r="J30" s="22">
        <f t="shared" si="5"/>
        <v>0.98893635286829795</v>
      </c>
      <c r="L30" s="74">
        <f t="shared" si="6"/>
        <v>20</v>
      </c>
      <c r="M30" s="74">
        <f t="shared" si="6"/>
        <v>80</v>
      </c>
      <c r="N30" s="75">
        <f t="shared" si="7"/>
        <v>18</v>
      </c>
      <c r="O30" s="76">
        <f t="shared" si="8"/>
        <v>12.134249049694011</v>
      </c>
    </row>
    <row r="31" spans="2:15" x14ac:dyDescent="0.2">
      <c r="B31" s="32"/>
      <c r="C31" s="32"/>
      <c r="D31" s="35"/>
      <c r="F31" s="23">
        <f t="shared" si="9"/>
        <v>0.30000000000000004</v>
      </c>
      <c r="G31" s="21">
        <f t="shared" si="4"/>
        <v>0.7</v>
      </c>
      <c r="H31" s="22">
        <f t="shared" si="2"/>
        <v>0.16999999999999998</v>
      </c>
      <c r="I31" s="22">
        <f t="shared" si="3"/>
        <v>0.1084158659975559</v>
      </c>
      <c r="J31" s="22">
        <f t="shared" si="5"/>
        <v>1.01461164367289</v>
      </c>
      <c r="L31" s="74">
        <f t="shared" si="6"/>
        <v>30.000000000000004</v>
      </c>
      <c r="M31" s="74">
        <f t="shared" si="6"/>
        <v>70</v>
      </c>
      <c r="N31" s="75">
        <f t="shared" si="7"/>
        <v>17</v>
      </c>
      <c r="O31" s="76">
        <f t="shared" si="8"/>
        <v>10.841586599755592</v>
      </c>
    </row>
    <row r="32" spans="2:15" x14ac:dyDescent="0.2">
      <c r="F32" s="23">
        <f t="shared" si="9"/>
        <v>0.4</v>
      </c>
      <c r="G32" s="21">
        <f t="shared" si="4"/>
        <v>0.6</v>
      </c>
      <c r="H32" s="22">
        <f t="shared" si="2"/>
        <v>0.16</v>
      </c>
      <c r="I32" s="22">
        <f t="shared" si="3"/>
        <v>9.6932966528421066E-2</v>
      </c>
      <c r="J32" s="22">
        <f t="shared" si="5"/>
        <v>1.0316407676502883</v>
      </c>
      <c r="L32" s="74">
        <f t="shared" si="6"/>
        <v>40</v>
      </c>
      <c r="M32" s="74">
        <f t="shared" si="6"/>
        <v>60</v>
      </c>
      <c r="N32" s="75">
        <f t="shared" si="7"/>
        <v>16</v>
      </c>
      <c r="O32" s="76">
        <f t="shared" si="8"/>
        <v>9.6932966528421076</v>
      </c>
    </row>
    <row r="33" spans="6:15" x14ac:dyDescent="0.2">
      <c r="F33" s="23">
        <f t="shared" si="9"/>
        <v>0.5</v>
      </c>
      <c r="G33" s="21">
        <f t="shared" si="4"/>
        <v>0.5</v>
      </c>
      <c r="H33" s="22">
        <f t="shared" si="2"/>
        <v>0.15000000000000002</v>
      </c>
      <c r="I33" s="22">
        <f t="shared" si="3"/>
        <v>8.7464278422679509E-2</v>
      </c>
      <c r="J33" s="22">
        <f t="shared" si="5"/>
        <v>1.0289915108550534</v>
      </c>
      <c r="L33" s="74">
        <f t="shared" si="6"/>
        <v>50</v>
      </c>
      <c r="M33" s="74">
        <f t="shared" si="6"/>
        <v>50</v>
      </c>
      <c r="N33" s="75">
        <f t="shared" si="7"/>
        <v>15</v>
      </c>
      <c r="O33" s="76">
        <f t="shared" si="8"/>
        <v>8.7464278422679502</v>
      </c>
    </row>
    <row r="34" spans="6:15" x14ac:dyDescent="0.2">
      <c r="F34" s="23">
        <f t="shared" si="9"/>
        <v>0.6</v>
      </c>
      <c r="G34" s="21">
        <f t="shared" si="4"/>
        <v>0.4</v>
      </c>
      <c r="H34" s="22">
        <f t="shared" si="2"/>
        <v>0.14000000000000001</v>
      </c>
      <c r="I34" s="22">
        <f t="shared" si="3"/>
        <v>8.0721744282442262E-2</v>
      </c>
      <c r="J34" s="22">
        <f t="shared" si="5"/>
        <v>0.99105886166288859</v>
      </c>
      <c r="L34" s="74">
        <f t="shared" si="6"/>
        <v>60</v>
      </c>
      <c r="M34" s="74">
        <f t="shared" si="6"/>
        <v>40</v>
      </c>
      <c r="N34" s="75">
        <f t="shared" si="7"/>
        <v>14</v>
      </c>
      <c r="O34" s="76">
        <f t="shared" si="8"/>
        <v>8.0721744282442263</v>
      </c>
    </row>
    <row r="35" spans="6:15" x14ac:dyDescent="0.2">
      <c r="F35" s="23">
        <f t="shared" si="9"/>
        <v>0.7</v>
      </c>
      <c r="G35" s="21">
        <f t="shared" si="4"/>
        <v>0.30000000000000004</v>
      </c>
      <c r="H35" s="22">
        <f t="shared" si="2"/>
        <v>0.13</v>
      </c>
      <c r="I35" s="22">
        <f t="shared" si="3"/>
        <v>7.7420927403383633E-2</v>
      </c>
      <c r="J35" s="22">
        <f t="shared" si="5"/>
        <v>0.90414830134081681</v>
      </c>
      <c r="L35" s="74">
        <f t="shared" si="6"/>
        <v>70</v>
      </c>
      <c r="M35" s="74">
        <f t="shared" si="6"/>
        <v>30.000000000000004</v>
      </c>
      <c r="N35" s="75">
        <f t="shared" si="7"/>
        <v>13</v>
      </c>
      <c r="O35" s="76">
        <f t="shared" si="8"/>
        <v>7.7420927403383644</v>
      </c>
    </row>
    <row r="36" spans="6:15" x14ac:dyDescent="0.2">
      <c r="F36" s="23">
        <f t="shared" si="9"/>
        <v>0.79999999999999993</v>
      </c>
      <c r="G36" s="21">
        <f t="shared" si="4"/>
        <v>0.20000000000000007</v>
      </c>
      <c r="H36" s="22">
        <f t="shared" si="2"/>
        <v>0.12000000000000002</v>
      </c>
      <c r="I36" s="22">
        <f t="shared" si="3"/>
        <v>7.8E-2</v>
      </c>
      <c r="J36" s="22">
        <f t="shared" si="5"/>
        <v>0.76923076923076961</v>
      </c>
      <c r="L36" s="74">
        <f t="shared" si="6"/>
        <v>80</v>
      </c>
      <c r="M36" s="74">
        <f t="shared" si="6"/>
        <v>20.000000000000007</v>
      </c>
      <c r="N36" s="75">
        <f t="shared" si="7"/>
        <v>12.000000000000002</v>
      </c>
      <c r="O36" s="76">
        <f t="shared" si="8"/>
        <v>7.8</v>
      </c>
    </row>
    <row r="37" spans="6:15" x14ac:dyDescent="0.2">
      <c r="F37" s="23">
        <f t="shared" si="9"/>
        <v>0.89999999999999991</v>
      </c>
      <c r="G37" s="21">
        <f t="shared" si="4"/>
        <v>0.10000000000000009</v>
      </c>
      <c r="H37" s="22">
        <f t="shared" si="2"/>
        <v>0.11000000000000001</v>
      </c>
      <c r="I37" s="22">
        <f t="shared" si="3"/>
        <v>8.237718130647588E-2</v>
      </c>
      <c r="J37" s="22">
        <f t="shared" si="5"/>
        <v>0.60696420060769174</v>
      </c>
      <c r="L37" s="74">
        <f t="shared" si="6"/>
        <v>89.999999999999986</v>
      </c>
      <c r="M37" s="74">
        <f t="shared" si="6"/>
        <v>10.000000000000009</v>
      </c>
      <c r="N37" s="75">
        <f t="shared" si="7"/>
        <v>11</v>
      </c>
      <c r="O37" s="76">
        <f t="shared" si="8"/>
        <v>8.2377181306475862</v>
      </c>
    </row>
    <row r="38" spans="6:15" x14ac:dyDescent="0.2">
      <c r="F38" s="23">
        <f t="shared" si="9"/>
        <v>0.99999999999999989</v>
      </c>
      <c r="G38" s="21">
        <f t="shared" si="4"/>
        <v>0</v>
      </c>
      <c r="H38" s="22">
        <f t="shared" si="2"/>
        <v>0.10000000000000002</v>
      </c>
      <c r="I38" s="22">
        <f t="shared" si="3"/>
        <v>8.9999999999999983E-2</v>
      </c>
      <c r="J38" s="22">
        <f t="shared" si="5"/>
        <v>0.44444444444444475</v>
      </c>
      <c r="L38" s="74">
        <f t="shared" si="6"/>
        <v>99.999999999999986</v>
      </c>
      <c r="M38" s="74">
        <f t="shared" si="6"/>
        <v>0</v>
      </c>
      <c r="N38" s="75">
        <f t="shared" si="7"/>
        <v>10</v>
      </c>
      <c r="O38" s="76">
        <f t="shared" si="8"/>
        <v>8.9999999999999982</v>
      </c>
    </row>
    <row r="39" spans="6:15" x14ac:dyDescent="0.2">
      <c r="F39" s="23">
        <f t="shared" si="9"/>
        <v>1.0999999999999999</v>
      </c>
      <c r="G39" s="21">
        <f t="shared" si="4"/>
        <v>-9.9999999999999867E-2</v>
      </c>
      <c r="H39" s="22">
        <f t="shared" si="2"/>
        <v>9.0000000000000011E-2</v>
      </c>
      <c r="I39" s="22">
        <f t="shared" si="3"/>
        <v>0.1001299156096718</v>
      </c>
      <c r="J39" s="22">
        <f t="shared" si="5"/>
        <v>0.29961075885599009</v>
      </c>
      <c r="L39" s="74">
        <f t="shared" si="6"/>
        <v>109.99999999999999</v>
      </c>
      <c r="M39" s="74">
        <f t="shared" si="6"/>
        <v>-9.9999999999999858</v>
      </c>
      <c r="N39" s="75">
        <f t="shared" si="7"/>
        <v>9.0000000000000036</v>
      </c>
      <c r="O39" s="76">
        <f t="shared" si="8"/>
        <v>10.01299156096718</v>
      </c>
    </row>
    <row r="40" spans="6:15" x14ac:dyDescent="0.2">
      <c r="F40" s="23">
        <f t="shared" si="9"/>
        <v>1.2</v>
      </c>
      <c r="G40" s="21">
        <f t="shared" si="4"/>
        <v>-0.19999999999999996</v>
      </c>
      <c r="H40" s="22">
        <f t="shared" si="2"/>
        <v>0.08</v>
      </c>
      <c r="I40" s="22">
        <f t="shared" si="3"/>
        <v>0.11208925015361643</v>
      </c>
      <c r="J40" s="22">
        <f t="shared" si="5"/>
        <v>0.17842924252406311</v>
      </c>
      <c r="L40" s="74">
        <f t="shared" si="6"/>
        <v>120</v>
      </c>
      <c r="M40" s="74">
        <f t="shared" si="6"/>
        <v>-19.999999999999996</v>
      </c>
      <c r="N40" s="75">
        <f t="shared" si="7"/>
        <v>8</v>
      </c>
      <c r="O40" s="76">
        <f t="shared" si="8"/>
        <v>11.208925015361643</v>
      </c>
    </row>
    <row r="41" spans="6:15" x14ac:dyDescent="0.2">
      <c r="F41" s="23">
        <f t="shared" si="9"/>
        <v>1.3</v>
      </c>
      <c r="G41" s="21">
        <f t="shared" si="4"/>
        <v>-0.30000000000000004</v>
      </c>
      <c r="H41" s="22">
        <f t="shared" si="2"/>
        <v>6.9999999999999993E-2</v>
      </c>
      <c r="I41" s="22">
        <f t="shared" si="3"/>
        <v>0.12535549449465708</v>
      </c>
      <c r="J41" s="22">
        <f t="shared" si="5"/>
        <v>7.9773128735304191E-2</v>
      </c>
      <c r="L41" s="74">
        <f t="shared" si="6"/>
        <v>130</v>
      </c>
      <c r="M41" s="74">
        <f t="shared" si="6"/>
        <v>-30.000000000000004</v>
      </c>
      <c r="N41" s="75">
        <f t="shared" si="7"/>
        <v>6.9999999999999991</v>
      </c>
      <c r="O41" s="76">
        <f t="shared" si="8"/>
        <v>12.535549449465707</v>
      </c>
    </row>
    <row r="42" spans="6:15" x14ac:dyDescent="0.2">
      <c r="F42" s="23">
        <f t="shared" si="9"/>
        <v>1.4000000000000001</v>
      </c>
      <c r="G42" s="21">
        <f t="shared" si="4"/>
        <v>-0.40000000000000013</v>
      </c>
      <c r="H42" s="22">
        <f t="shared" si="2"/>
        <v>5.9999999999999984E-2</v>
      </c>
      <c r="I42" s="22">
        <f t="shared" si="3"/>
        <v>0.1395564401953561</v>
      </c>
      <c r="J42" s="22">
        <f t="shared" si="5"/>
        <v>-9.9442116668982339E-17</v>
      </c>
      <c r="L42" s="74">
        <f t="shared" si="6"/>
        <v>140</v>
      </c>
      <c r="M42" s="74">
        <f t="shared" si="6"/>
        <v>-40.000000000000014</v>
      </c>
      <c r="N42" s="75">
        <f t="shared" si="7"/>
        <v>5.9999999999999964</v>
      </c>
      <c r="O42" s="76">
        <f t="shared" si="8"/>
        <v>13.95564401953561</v>
      </c>
    </row>
    <row r="43" spans="6:15" x14ac:dyDescent="0.2">
      <c r="F43" s="23">
        <f t="shared" si="9"/>
        <v>1.5000000000000002</v>
      </c>
      <c r="G43" s="21">
        <f t="shared" si="4"/>
        <v>-0.50000000000000022</v>
      </c>
      <c r="H43" s="22">
        <f t="shared" si="2"/>
        <v>4.9999999999999975E-2</v>
      </c>
      <c r="I43" s="22">
        <f t="shared" si="3"/>
        <v>0.15443445211480503</v>
      </c>
      <c r="J43" s="22">
        <f t="shared" si="5"/>
        <v>-6.4752390823817757E-2</v>
      </c>
      <c r="L43" s="74">
        <f t="shared" si="6"/>
        <v>150.00000000000003</v>
      </c>
      <c r="M43" s="74">
        <f t="shared" si="6"/>
        <v>-50.000000000000021</v>
      </c>
      <c r="N43" s="75">
        <f t="shared" si="7"/>
        <v>4.9999999999999982</v>
      </c>
      <c r="O43" s="76">
        <f t="shared" si="8"/>
        <v>15.443445211480505</v>
      </c>
    </row>
    <row r="44" spans="6:15" x14ac:dyDescent="0.2">
      <c r="F44" s="23">
        <f t="shared" si="9"/>
        <v>1.6000000000000003</v>
      </c>
      <c r="G44" s="21">
        <f t="shared" si="4"/>
        <v>-0.60000000000000031</v>
      </c>
      <c r="H44" s="22">
        <f t="shared" si="2"/>
        <v>3.9999999999999966E-2</v>
      </c>
      <c r="I44" s="22">
        <f t="shared" si="3"/>
        <v>0.16981166037701892</v>
      </c>
      <c r="J44" s="22">
        <f t="shared" si="5"/>
        <v>-0.11777754222292904</v>
      </c>
      <c r="L44" s="74">
        <f t="shared" si="6"/>
        <v>160.00000000000003</v>
      </c>
      <c r="M44" s="74">
        <f t="shared" si="6"/>
        <v>-60.000000000000028</v>
      </c>
      <c r="N44" s="75">
        <f t="shared" si="7"/>
        <v>3.9999999999999964</v>
      </c>
      <c r="O44" s="76">
        <f t="shared" si="8"/>
        <v>16.98116603770189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T44"/>
  <sheetViews>
    <sheetView showGridLines="0" zoomScaleNormal="100" workbookViewId="0">
      <selection activeCell="M32" sqref="M32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7" width="8.42578125" style="1" customWidth="1"/>
    <col min="8" max="8" width="10.140625" style="1" customWidth="1"/>
    <col min="9" max="10" width="9.140625" style="1"/>
    <col min="11" max="11" width="9.140625" style="1" customWidth="1"/>
    <col min="12" max="13" width="9.140625" style="1"/>
    <col min="18" max="16384" width="9.140625" style="1"/>
  </cols>
  <sheetData>
    <row r="2" spans="2:12" s="63" customFormat="1" x14ac:dyDescent="0.2">
      <c r="B2" s="61" t="s">
        <v>43</v>
      </c>
      <c r="C2" s="62"/>
    </row>
    <row r="3" spans="2:12" x14ac:dyDescent="0.2">
      <c r="B3" s="2" t="s">
        <v>18</v>
      </c>
      <c r="C3" s="3"/>
      <c r="D3" s="4"/>
      <c r="E3" s="4"/>
      <c r="F3" s="4"/>
    </row>
    <row r="4" spans="2:12" x14ac:dyDescent="0.2">
      <c r="B4" s="5" t="s">
        <v>0</v>
      </c>
      <c r="C4" s="5"/>
      <c r="D4" s="6"/>
      <c r="E4" s="6"/>
      <c r="F4" s="6"/>
    </row>
    <row r="6" spans="2:12" x14ac:dyDescent="0.2">
      <c r="B6" s="7" t="s">
        <v>1</v>
      </c>
      <c r="C6" s="7"/>
      <c r="D6" s="37">
        <f>'T1-PPC-MVP'!D8</f>
        <v>0.06</v>
      </c>
      <c r="H6" s="9" t="s">
        <v>2</v>
      </c>
      <c r="I6" s="9"/>
      <c r="J6" s="38" t="s">
        <v>19</v>
      </c>
    </row>
    <row r="7" spans="2:12" x14ac:dyDescent="0.2">
      <c r="F7" s="11" t="s">
        <v>3</v>
      </c>
      <c r="G7" s="12" t="s">
        <v>3</v>
      </c>
      <c r="H7" s="13" t="s">
        <v>4</v>
      </c>
      <c r="I7" s="13" t="s">
        <v>5</v>
      </c>
      <c r="J7" s="13" t="s">
        <v>20</v>
      </c>
    </row>
    <row r="8" spans="2:12" x14ac:dyDescent="0.2">
      <c r="B8" s="14" t="s">
        <v>6</v>
      </c>
      <c r="C8" s="15"/>
      <c r="D8" s="16"/>
      <c r="F8" s="17" t="s">
        <v>6</v>
      </c>
      <c r="G8" s="18" t="s">
        <v>7</v>
      </c>
      <c r="H8" s="19" t="s">
        <v>8</v>
      </c>
      <c r="I8" s="19" t="s">
        <v>9</v>
      </c>
      <c r="J8" s="19" t="s">
        <v>21</v>
      </c>
    </row>
    <row r="9" spans="2:12" x14ac:dyDescent="0.2">
      <c r="B9" s="7" t="s">
        <v>10</v>
      </c>
      <c r="C9" s="7"/>
      <c r="D9" s="8">
        <f>'T1-PPC-MVP'!D11</f>
        <v>0.1</v>
      </c>
    </row>
    <row r="10" spans="2:12" x14ac:dyDescent="0.2">
      <c r="B10" s="7" t="s">
        <v>11</v>
      </c>
      <c r="C10" s="7"/>
      <c r="D10" s="8">
        <v>0.09</v>
      </c>
      <c r="F10" s="39" t="s">
        <v>17</v>
      </c>
      <c r="G10" s="16"/>
      <c r="H10" s="16"/>
      <c r="I10" s="16"/>
      <c r="J10" s="16"/>
    </row>
    <row r="11" spans="2:12" x14ac:dyDescent="0.2">
      <c r="B11" s="10" t="s">
        <v>12</v>
      </c>
      <c r="D11" s="24">
        <f>D10^2</f>
        <v>8.0999999999999996E-3</v>
      </c>
      <c r="F11" s="40">
        <f>(D16-(D19*D10*D15))/(D11+D16-(2*D19*D10*D15))</f>
        <v>0.67391304347826086</v>
      </c>
      <c r="G11" s="22">
        <f t="shared" ref="G11" si="0">1-F11</f>
        <v>0.32608695652173914</v>
      </c>
      <c r="H11" s="22">
        <f>F11*$D$9+(1-F11)*$D$14</f>
        <v>0.13260869565217392</v>
      </c>
      <c r="I11" s="72">
        <f>SQRT(F11^2*$D$11+(1-F11)^2*$D$16+2*F11*(1-F11)*$D$20)</f>
        <v>6.0809753222295863E-2</v>
      </c>
      <c r="J11" s="22">
        <f t="shared" ref="J11" si="1">(H11-$D$6)/I11</f>
        <v>1.1940304277628937</v>
      </c>
    </row>
    <row r="13" spans="2:12" x14ac:dyDescent="0.2">
      <c r="B13" s="25" t="s">
        <v>7</v>
      </c>
      <c r="C13" s="26"/>
      <c r="D13" s="16"/>
      <c r="F13" s="41" t="s">
        <v>22</v>
      </c>
      <c r="G13" s="42"/>
      <c r="H13" s="42"/>
      <c r="I13" s="42"/>
      <c r="J13" s="42"/>
    </row>
    <row r="14" spans="2:12" x14ac:dyDescent="0.2">
      <c r="B14" s="7" t="s">
        <v>10</v>
      </c>
      <c r="C14" s="7"/>
      <c r="D14" s="8">
        <v>0.2</v>
      </c>
      <c r="F14" s="40">
        <f>D15*(D14*D19*D10-D6*D19*D15-D9*D15+D6*D15)/(-D14*D10^2+D6*D10^2+D9*D19*D10*D15+D14*D19*D10*D15-2*D6*D19*D10*D15-D9*D15^2+D6*D15^2)</f>
        <v>0.47904191616766462</v>
      </c>
      <c r="G14" s="22">
        <f>1-F14</f>
        <v>0.52095808383233533</v>
      </c>
      <c r="H14" s="22">
        <f>F14*$D$9+(1-F14)*$D$14</f>
        <v>0.15209580838323353</v>
      </c>
      <c r="I14" s="22">
        <f>SQRT(F14^2*$D$11+(1-F14)^2*$D$16+2*F14*(1-F14)*$D$20)</f>
        <v>7.2594634761059651E-2</v>
      </c>
      <c r="J14" s="72">
        <f>(H14-$D$6)/I14</f>
        <v>1.2686310591183587</v>
      </c>
      <c r="L14" s="28"/>
    </row>
    <row r="15" spans="2:12" x14ac:dyDescent="0.2">
      <c r="B15" s="7" t="s">
        <v>11</v>
      </c>
      <c r="C15" s="7"/>
      <c r="D15" s="8">
        <v>0.15</v>
      </c>
    </row>
    <row r="16" spans="2:12" x14ac:dyDescent="0.2">
      <c r="B16" s="10" t="s">
        <v>12</v>
      </c>
      <c r="D16" s="29">
        <f>D15^2</f>
        <v>2.2499999999999999E-2</v>
      </c>
      <c r="F16" s="39" t="s">
        <v>61</v>
      </c>
      <c r="G16" s="16"/>
      <c r="H16" s="95" t="s">
        <v>59</v>
      </c>
      <c r="I16" s="95" t="s">
        <v>60</v>
      </c>
      <c r="J16" s="95" t="s">
        <v>62</v>
      </c>
      <c r="K16" s="48" t="s">
        <v>63</v>
      </c>
      <c r="L16" s="48" t="s">
        <v>63</v>
      </c>
    </row>
    <row r="17" spans="2:20" x14ac:dyDescent="0.2">
      <c r="F17" s="74">
        <v>100</v>
      </c>
      <c r="G17" s="75">
        <f>-$D$19*$D$10/$D$15*F17</f>
        <v>24</v>
      </c>
      <c r="H17" s="55">
        <f>F17/($F17+$G17)</f>
        <v>0.80645161290322576</v>
      </c>
      <c r="I17" s="55">
        <f>G17/($F17+$G17)</f>
        <v>0.19354838709677419</v>
      </c>
      <c r="J17" s="78">
        <f>SQRT(H17^2*$D$11+I17^2*$D$16+2*H17*I17*$D$10*$D$15*$D$19)</f>
        <v>6.6521260088068634E-2</v>
      </c>
      <c r="K17" s="92">
        <f>J17*(F17+G17)</f>
        <v>8.2486362509205104</v>
      </c>
      <c r="L17" s="92">
        <f>SQRT(F17^2*$D$11+G17^2*$D$16+2*F17*G17*$D$10*$D$15*$D$19)</f>
        <v>8.2486362509205122</v>
      </c>
    </row>
    <row r="18" spans="2:20" x14ac:dyDescent="0.2">
      <c r="B18" s="25" t="s">
        <v>13</v>
      </c>
      <c r="C18" s="26"/>
      <c r="D18" s="16"/>
      <c r="F18" s="88">
        <v>100</v>
      </c>
      <c r="G18" s="89">
        <f>-$P$18*$D$10/$D$15*F18</f>
        <v>-24</v>
      </c>
      <c r="H18" s="90">
        <f>F18/($F18+$G18)</f>
        <v>1.3157894736842106</v>
      </c>
      <c r="I18" s="90">
        <f>G18/($F18+$G18)</f>
        <v>-0.31578947368421051</v>
      </c>
      <c r="J18" s="91">
        <f>SQRT(H18^2*$D$11+I18^2*$D$16+2*H18*I18*$D$10*$D$15*$P$18)</f>
        <v>0.108534687512112</v>
      </c>
      <c r="K18" s="93">
        <f>J18*(F18+G18)</f>
        <v>8.2486362509205122</v>
      </c>
      <c r="L18" s="93">
        <f>SQRT(F18^2*$D$11+G18^2*$D$16+2*F18*G18*$D$10*$D$15*P18)</f>
        <v>8.2486362509205122</v>
      </c>
      <c r="M18" s="85" t="s">
        <v>58</v>
      </c>
      <c r="N18" s="86"/>
      <c r="P18" s="87">
        <f>-D19</f>
        <v>0.4</v>
      </c>
    </row>
    <row r="19" spans="2:20" x14ac:dyDescent="0.2">
      <c r="B19" s="7" t="s">
        <v>14</v>
      </c>
      <c r="C19" s="7"/>
      <c r="D19" s="73">
        <v>-0.4</v>
      </c>
    </row>
    <row r="20" spans="2:20" x14ac:dyDescent="0.2">
      <c r="B20" s="7" t="s">
        <v>15</v>
      </c>
      <c r="C20" s="7"/>
      <c r="D20" s="30">
        <f>D19*D15*D10</f>
        <v>-5.3999999999999994E-3</v>
      </c>
      <c r="H20" s="9" t="s">
        <v>2</v>
      </c>
      <c r="I20" s="9"/>
      <c r="J20" s="38" t="s">
        <v>19</v>
      </c>
    </row>
    <row r="21" spans="2:20" x14ac:dyDescent="0.2">
      <c r="B21" s="1"/>
      <c r="C21" s="1"/>
      <c r="F21" s="11" t="s">
        <v>3</v>
      </c>
      <c r="G21" s="12" t="s">
        <v>3</v>
      </c>
      <c r="H21" s="13" t="s">
        <v>4</v>
      </c>
      <c r="I21" s="13" t="s">
        <v>5</v>
      </c>
      <c r="J21" s="13" t="s">
        <v>20</v>
      </c>
      <c r="K21" s="13" t="s">
        <v>2</v>
      </c>
      <c r="L21" s="79" t="s">
        <v>51</v>
      </c>
      <c r="M21" s="79"/>
      <c r="N21" s="82" t="s">
        <v>52</v>
      </c>
      <c r="O21" s="82"/>
      <c r="P21" s="80" t="s">
        <v>8</v>
      </c>
      <c r="Q21" s="80"/>
      <c r="R21" s="81" t="s">
        <v>31</v>
      </c>
      <c r="S21" s="81"/>
      <c r="T21" s="81"/>
    </row>
    <row r="22" spans="2:20" x14ac:dyDescent="0.2">
      <c r="B22" s="1" t="s">
        <v>16</v>
      </c>
      <c r="C22" s="1"/>
      <c r="F22" s="17" t="s">
        <v>6</v>
      </c>
      <c r="G22" s="18" t="s">
        <v>7</v>
      </c>
      <c r="H22" s="19" t="s">
        <v>8</v>
      </c>
      <c r="I22" s="19" t="s">
        <v>9</v>
      </c>
      <c r="J22" s="19" t="s">
        <v>21</v>
      </c>
      <c r="K22" s="19" t="s">
        <v>50</v>
      </c>
      <c r="L22" s="19" t="s">
        <v>6</v>
      </c>
      <c r="M22" s="19" t="s">
        <v>7</v>
      </c>
      <c r="N22" s="19" t="s">
        <v>6</v>
      </c>
      <c r="O22" s="19" t="s">
        <v>7</v>
      </c>
      <c r="P22" s="19" t="s">
        <v>53</v>
      </c>
      <c r="Q22" s="19" t="s">
        <v>50</v>
      </c>
      <c r="R22" s="83" t="s">
        <v>53</v>
      </c>
      <c r="S22" s="83" t="s">
        <v>50</v>
      </c>
      <c r="T22" s="83" t="s">
        <v>50</v>
      </c>
    </row>
    <row r="23" spans="2:20" x14ac:dyDescent="0.2">
      <c r="B23" s="1"/>
      <c r="C23" s="1"/>
      <c r="F23" s="20">
        <v>-0.5</v>
      </c>
      <c r="G23" s="21">
        <f>1-F23</f>
        <v>1.5</v>
      </c>
      <c r="H23" s="22">
        <f t="shared" ref="H23:H44" si="2">F23*$D$9+(1-F23)*$D$14</f>
        <v>0.25000000000000006</v>
      </c>
      <c r="I23" s="22">
        <f t="shared" ref="I23:I44" si="3">SQRT(F23^2*$D$11+(1-F23)^2*$D$16+2*F23*(1-F23)*$D$20)</f>
        <v>0.24647515087732474</v>
      </c>
      <c r="J23" s="22">
        <f>(H23-$D$6)/I23</f>
        <v>0.77086878463690067</v>
      </c>
      <c r="K23" s="74">
        <f t="shared" ref="K23:K44" si="4">L23+M23</f>
        <v>50</v>
      </c>
      <c r="L23" s="74">
        <v>100</v>
      </c>
      <c r="M23" s="74">
        <f>-50</f>
        <v>-50</v>
      </c>
      <c r="N23" s="77">
        <f>L23/K23</f>
        <v>2</v>
      </c>
      <c r="O23" s="77">
        <f>M23/K23</f>
        <v>-1</v>
      </c>
      <c r="P23" s="55">
        <f>N23*$D$9+O23*$D$14</f>
        <v>0</v>
      </c>
      <c r="Q23" s="75">
        <f t="shared" ref="Q23:Q44" si="5">L23*$D$9+M23*$D$14</f>
        <v>0</v>
      </c>
      <c r="R23" s="55">
        <f t="shared" ref="R23:R44" si="6">SQRT(N23^2*$D$11+O23^2*$D$16+2*N23*O23*$D$10*$D$15*$D$19)</f>
        <v>0.2765863337187866</v>
      </c>
      <c r="S23" s="75">
        <f t="shared" ref="S23:S44" si="7">R23*K23</f>
        <v>13.829316685939331</v>
      </c>
      <c r="T23" s="76">
        <f t="shared" ref="T23:T44" si="8">SQRT(L23^2*$D$11+M23^2*$D$16+2*L23*M23*$D$10*$D$15*$D$19)</f>
        <v>13.829316685939331</v>
      </c>
    </row>
    <row r="24" spans="2:20" x14ac:dyDescent="0.2">
      <c r="B24" s="31"/>
      <c r="C24" s="31"/>
      <c r="D24" s="31"/>
      <c r="F24" s="23">
        <f>F23+10%</f>
        <v>-0.4</v>
      </c>
      <c r="G24" s="21">
        <f t="shared" ref="G24:G44" si="9">1-F24</f>
        <v>1.4</v>
      </c>
      <c r="H24" s="22">
        <f t="shared" si="2"/>
        <v>0.23999999999999996</v>
      </c>
      <c r="I24" s="22">
        <f t="shared" si="3"/>
        <v>0.22681269805722956</v>
      </c>
      <c r="J24" s="22">
        <f t="shared" ref="J24:J44" si="10">(H24-$D$6)/I24</f>
        <v>0.79360636129191597</v>
      </c>
      <c r="K24" s="74">
        <f t="shared" si="4"/>
        <v>60</v>
      </c>
      <c r="L24" s="74">
        <f t="shared" ref="L24:L44" si="11">$L$23</f>
        <v>100</v>
      </c>
      <c r="M24" s="74">
        <f>M23+10</f>
        <v>-40</v>
      </c>
      <c r="N24" s="77">
        <f t="shared" ref="N24:N44" si="12">L24/K24</f>
        <v>1.6666666666666667</v>
      </c>
      <c r="O24" s="77">
        <f t="shared" ref="O24:O44" si="13">M24/K24</f>
        <v>-0.66666666666666663</v>
      </c>
      <c r="P24" s="55">
        <f t="shared" ref="P24:P44" si="14">N24*$D$9+O24*$D$14</f>
        <v>3.3333333333333354E-2</v>
      </c>
      <c r="Q24" s="75">
        <f t="shared" si="5"/>
        <v>2</v>
      </c>
      <c r="R24" s="55">
        <f t="shared" si="6"/>
        <v>0.21095023109728986</v>
      </c>
      <c r="S24" s="75">
        <f t="shared" si="7"/>
        <v>12.657013865837392</v>
      </c>
      <c r="T24" s="76">
        <f t="shared" si="8"/>
        <v>12.657013865837392</v>
      </c>
    </row>
    <row r="25" spans="2:20" x14ac:dyDescent="0.2">
      <c r="B25" s="31"/>
      <c r="C25" s="31"/>
      <c r="D25" s="31"/>
      <c r="F25" s="23">
        <f t="shared" ref="F25:F44" si="15">F24+10%</f>
        <v>-0.30000000000000004</v>
      </c>
      <c r="G25" s="21">
        <f t="shared" si="9"/>
        <v>1.3</v>
      </c>
      <c r="H25" s="22">
        <f t="shared" si="2"/>
        <v>0.23</v>
      </c>
      <c r="I25" s="22">
        <f t="shared" si="3"/>
        <v>0.20728241604149639</v>
      </c>
      <c r="J25" s="22">
        <f t="shared" si="10"/>
        <v>0.8201371020587066</v>
      </c>
      <c r="K25" s="74">
        <f t="shared" si="4"/>
        <v>70</v>
      </c>
      <c r="L25" s="74">
        <f t="shared" si="11"/>
        <v>100</v>
      </c>
      <c r="M25" s="74">
        <f t="shared" ref="M25:M44" si="16">M24+10</f>
        <v>-30</v>
      </c>
      <c r="N25" s="77">
        <f t="shared" si="12"/>
        <v>1.4285714285714286</v>
      </c>
      <c r="O25" s="77">
        <f t="shared" si="13"/>
        <v>-0.42857142857142855</v>
      </c>
      <c r="P25" s="55">
        <f t="shared" si="14"/>
        <v>5.7142857142857162E-2</v>
      </c>
      <c r="Q25" s="75">
        <f t="shared" si="5"/>
        <v>4</v>
      </c>
      <c r="R25" s="55">
        <f t="shared" si="6"/>
        <v>0.16515299029712308</v>
      </c>
      <c r="S25" s="75">
        <f t="shared" si="7"/>
        <v>11.560709320798615</v>
      </c>
      <c r="T25" s="76">
        <f t="shared" si="8"/>
        <v>11.560709320798617</v>
      </c>
    </row>
    <row r="26" spans="2:20" x14ac:dyDescent="0.2">
      <c r="B26" s="32"/>
      <c r="C26" s="32"/>
      <c r="D26" s="31"/>
      <c r="F26" s="23">
        <f t="shared" si="15"/>
        <v>-0.20000000000000004</v>
      </c>
      <c r="G26" s="21">
        <f t="shared" si="9"/>
        <v>1.2</v>
      </c>
      <c r="H26" s="22">
        <f t="shared" si="2"/>
        <v>0.21999999999999997</v>
      </c>
      <c r="I26" s="22">
        <f t="shared" si="3"/>
        <v>0.18792551716038988</v>
      </c>
      <c r="J26" s="22">
        <f t="shared" si="10"/>
        <v>0.85140114241880116</v>
      </c>
      <c r="K26" s="74">
        <f t="shared" si="4"/>
        <v>80</v>
      </c>
      <c r="L26" s="74">
        <f t="shared" si="11"/>
        <v>100</v>
      </c>
      <c r="M26" s="74">
        <f t="shared" si="16"/>
        <v>-20</v>
      </c>
      <c r="N26" s="77">
        <f t="shared" si="12"/>
        <v>1.25</v>
      </c>
      <c r="O26" s="77">
        <f t="shared" si="13"/>
        <v>-0.25</v>
      </c>
      <c r="P26" s="55">
        <f t="shared" si="14"/>
        <v>7.4999999999999997E-2</v>
      </c>
      <c r="Q26" s="75">
        <f t="shared" si="5"/>
        <v>6</v>
      </c>
      <c r="R26" s="55">
        <f t="shared" si="6"/>
        <v>0.13205112646244258</v>
      </c>
      <c r="S26" s="75">
        <f t="shared" si="7"/>
        <v>10.564090116995406</v>
      </c>
      <c r="T26" s="76">
        <f t="shared" si="8"/>
        <v>10.564090116995406</v>
      </c>
    </row>
    <row r="27" spans="2:20" x14ac:dyDescent="0.2">
      <c r="B27" s="33"/>
      <c r="C27" s="33"/>
      <c r="D27" s="34"/>
      <c r="F27" s="23">
        <f t="shared" si="15"/>
        <v>-0.10000000000000003</v>
      </c>
      <c r="G27" s="21">
        <f t="shared" si="9"/>
        <v>1.1000000000000001</v>
      </c>
      <c r="H27" s="22">
        <f t="shared" si="2"/>
        <v>0.21000000000000002</v>
      </c>
      <c r="I27" s="22">
        <f t="shared" si="3"/>
        <v>0.16880165875962239</v>
      </c>
      <c r="J27" s="22">
        <f t="shared" si="10"/>
        <v>0.88861686017910302</v>
      </c>
      <c r="K27" s="74">
        <f t="shared" si="4"/>
        <v>90</v>
      </c>
      <c r="L27" s="74">
        <f t="shared" si="11"/>
        <v>100</v>
      </c>
      <c r="M27" s="74">
        <f t="shared" si="16"/>
        <v>-10</v>
      </c>
      <c r="N27" s="77">
        <f t="shared" si="12"/>
        <v>1.1111111111111112</v>
      </c>
      <c r="O27" s="77">
        <f t="shared" si="13"/>
        <v>-0.1111111111111111</v>
      </c>
      <c r="P27" s="55">
        <f t="shared" si="14"/>
        <v>8.8888888888888892E-2</v>
      </c>
      <c r="Q27" s="75">
        <f t="shared" si="5"/>
        <v>8</v>
      </c>
      <c r="R27" s="55">
        <f t="shared" si="6"/>
        <v>0.10775486583496409</v>
      </c>
      <c r="S27" s="75">
        <f t="shared" si="7"/>
        <v>9.6979379251467677</v>
      </c>
      <c r="T27" s="76">
        <f t="shared" si="8"/>
        <v>9.6979379251467677</v>
      </c>
    </row>
    <row r="28" spans="2:20" x14ac:dyDescent="0.2">
      <c r="B28" s="33"/>
      <c r="C28" s="33"/>
      <c r="D28" s="34"/>
      <c r="F28" s="23">
        <f t="shared" si="15"/>
        <v>0</v>
      </c>
      <c r="G28" s="21">
        <f t="shared" si="9"/>
        <v>1</v>
      </c>
      <c r="H28" s="22">
        <f t="shared" si="2"/>
        <v>0.2</v>
      </c>
      <c r="I28" s="22">
        <f t="shared" si="3"/>
        <v>0.15</v>
      </c>
      <c r="J28" s="22">
        <f t="shared" si="10"/>
        <v>0.93333333333333346</v>
      </c>
      <c r="K28" s="74">
        <f t="shared" si="4"/>
        <v>100</v>
      </c>
      <c r="L28" s="74">
        <f t="shared" si="11"/>
        <v>100</v>
      </c>
      <c r="M28" s="74">
        <f t="shared" si="16"/>
        <v>0</v>
      </c>
      <c r="N28" s="77">
        <f t="shared" si="12"/>
        <v>1</v>
      </c>
      <c r="O28" s="77">
        <f t="shared" si="13"/>
        <v>0</v>
      </c>
      <c r="P28" s="55">
        <f t="shared" si="14"/>
        <v>0.1</v>
      </c>
      <c r="Q28" s="75">
        <f t="shared" si="5"/>
        <v>10</v>
      </c>
      <c r="R28" s="55">
        <f t="shared" si="6"/>
        <v>0.09</v>
      </c>
      <c r="S28" s="75">
        <f t="shared" si="7"/>
        <v>9</v>
      </c>
      <c r="T28" s="76">
        <f t="shared" si="8"/>
        <v>9</v>
      </c>
    </row>
    <row r="29" spans="2:20" x14ac:dyDescent="0.2">
      <c r="B29" s="33"/>
      <c r="C29" s="33"/>
      <c r="D29" s="34"/>
      <c r="F29" s="23">
        <f t="shared" si="15"/>
        <v>0.1</v>
      </c>
      <c r="G29" s="21">
        <f t="shared" si="9"/>
        <v>0.9</v>
      </c>
      <c r="H29" s="22">
        <f t="shared" si="2"/>
        <v>0.19000000000000003</v>
      </c>
      <c r="I29" s="22">
        <f t="shared" si="3"/>
        <v>0.13165864954495016</v>
      </c>
      <c r="J29" s="22">
        <f t="shared" si="10"/>
        <v>0.98740189459118033</v>
      </c>
      <c r="K29" s="74">
        <f t="shared" si="4"/>
        <v>110</v>
      </c>
      <c r="L29" s="74">
        <f t="shared" si="11"/>
        <v>100</v>
      </c>
      <c r="M29" s="74">
        <f t="shared" si="16"/>
        <v>10</v>
      </c>
      <c r="N29" s="77">
        <f t="shared" si="12"/>
        <v>0.90909090909090906</v>
      </c>
      <c r="O29" s="77">
        <f t="shared" si="13"/>
        <v>9.0909090909090912E-2</v>
      </c>
      <c r="P29" s="55">
        <f t="shared" si="14"/>
        <v>0.1090909090909091</v>
      </c>
      <c r="Q29" s="75">
        <f t="shared" si="5"/>
        <v>12</v>
      </c>
      <c r="R29" s="55">
        <f t="shared" si="6"/>
        <v>7.7379605231515117E-2</v>
      </c>
      <c r="S29" s="75">
        <f t="shared" si="7"/>
        <v>8.5117565754666629</v>
      </c>
      <c r="T29" s="76">
        <f t="shared" si="8"/>
        <v>8.5117565754666646</v>
      </c>
    </row>
    <row r="30" spans="2:20" x14ac:dyDescent="0.2">
      <c r="B30" s="33"/>
      <c r="C30" s="33"/>
      <c r="D30" s="34"/>
      <c r="F30" s="23">
        <f t="shared" si="15"/>
        <v>0.2</v>
      </c>
      <c r="G30" s="21">
        <f t="shared" si="9"/>
        <v>0.8</v>
      </c>
      <c r="H30" s="22">
        <f t="shared" si="2"/>
        <v>0.18000000000000005</v>
      </c>
      <c r="I30" s="22">
        <f t="shared" si="3"/>
        <v>0.114</v>
      </c>
      <c r="J30" s="22">
        <f t="shared" si="10"/>
        <v>1.0526315789473688</v>
      </c>
      <c r="K30" s="74">
        <f t="shared" si="4"/>
        <v>120</v>
      </c>
      <c r="L30" s="74">
        <f t="shared" si="11"/>
        <v>100</v>
      </c>
      <c r="M30" s="74">
        <f t="shared" si="16"/>
        <v>20</v>
      </c>
      <c r="N30" s="77">
        <f t="shared" si="12"/>
        <v>0.83333333333333337</v>
      </c>
      <c r="O30" s="77">
        <f t="shared" si="13"/>
        <v>0.16666666666666666</v>
      </c>
      <c r="P30" s="55">
        <f t="shared" si="14"/>
        <v>0.11666666666666667</v>
      </c>
      <c r="Q30" s="75">
        <f t="shared" si="5"/>
        <v>14</v>
      </c>
      <c r="R30" s="55">
        <f t="shared" si="6"/>
        <v>6.8920243760451111E-2</v>
      </c>
      <c r="S30" s="75">
        <f t="shared" si="7"/>
        <v>8.270429251254134</v>
      </c>
      <c r="T30" s="76">
        <f t="shared" si="8"/>
        <v>8.270429251254134</v>
      </c>
    </row>
    <row r="31" spans="2:20" x14ac:dyDescent="0.2">
      <c r="B31" s="32"/>
      <c r="C31" s="32"/>
      <c r="D31" s="35"/>
      <c r="F31" s="23">
        <v>0.24</v>
      </c>
      <c r="G31" s="21">
        <f t="shared" si="9"/>
        <v>0.76</v>
      </c>
      <c r="H31" s="22">
        <f t="shared" si="2"/>
        <v>0.17600000000000002</v>
      </c>
      <c r="I31" s="22">
        <f t="shared" si="3"/>
        <v>0.10720373127834683</v>
      </c>
      <c r="J31" s="22">
        <f t="shared" si="10"/>
        <v>1.0820518895822226</v>
      </c>
      <c r="K31" s="74">
        <f t="shared" si="4"/>
        <v>130</v>
      </c>
      <c r="L31" s="74">
        <f t="shared" si="11"/>
        <v>100</v>
      </c>
      <c r="M31" s="74">
        <f t="shared" si="16"/>
        <v>30</v>
      </c>
      <c r="N31" s="77">
        <f t="shared" si="12"/>
        <v>0.76923076923076927</v>
      </c>
      <c r="O31" s="77">
        <f t="shared" si="13"/>
        <v>0.23076923076923078</v>
      </c>
      <c r="P31" s="55">
        <f t="shared" si="14"/>
        <v>0.12307692307692308</v>
      </c>
      <c r="Q31" s="75">
        <f t="shared" si="5"/>
        <v>16</v>
      </c>
      <c r="R31" s="55">
        <f t="shared" si="6"/>
        <v>6.3827615473566135E-2</v>
      </c>
      <c r="S31" s="75">
        <f t="shared" si="7"/>
        <v>8.2975900115635977</v>
      </c>
      <c r="T31" s="76">
        <f t="shared" si="8"/>
        <v>8.2975900115635977</v>
      </c>
    </row>
    <row r="32" spans="2:20" x14ac:dyDescent="0.2">
      <c r="F32" s="23">
        <f t="shared" si="15"/>
        <v>0.33999999999999997</v>
      </c>
      <c r="G32" s="21">
        <f t="shared" si="9"/>
        <v>0.66</v>
      </c>
      <c r="H32" s="22">
        <f t="shared" si="2"/>
        <v>0.16600000000000001</v>
      </c>
      <c r="I32" s="22">
        <f t="shared" si="3"/>
        <v>9.1180261021780368E-2</v>
      </c>
      <c r="J32" s="22">
        <f t="shared" si="10"/>
        <v>1.1625323157901426</v>
      </c>
      <c r="K32" s="74">
        <f t="shared" si="4"/>
        <v>140</v>
      </c>
      <c r="L32" s="74">
        <f t="shared" si="11"/>
        <v>100</v>
      </c>
      <c r="M32" s="74">
        <f t="shared" si="16"/>
        <v>40</v>
      </c>
      <c r="N32" s="77">
        <f t="shared" si="12"/>
        <v>0.7142857142857143</v>
      </c>
      <c r="O32" s="77">
        <f t="shared" si="13"/>
        <v>0.2857142857142857</v>
      </c>
      <c r="P32" s="55">
        <f t="shared" si="14"/>
        <v>0.12857142857142859</v>
      </c>
      <c r="Q32" s="75">
        <f t="shared" si="5"/>
        <v>18</v>
      </c>
      <c r="R32" s="55">
        <f t="shared" si="6"/>
        <v>6.1362090271184368E-2</v>
      </c>
      <c r="S32" s="75">
        <f t="shared" si="7"/>
        <v>8.5906926379658106</v>
      </c>
      <c r="T32" s="76">
        <f t="shared" si="8"/>
        <v>8.5906926379658124</v>
      </c>
    </row>
    <row r="33" spans="6:20" x14ac:dyDescent="0.2">
      <c r="F33" s="23">
        <f t="shared" si="15"/>
        <v>0.43999999999999995</v>
      </c>
      <c r="G33" s="21">
        <f t="shared" si="9"/>
        <v>0.56000000000000005</v>
      </c>
      <c r="H33" s="22">
        <f t="shared" si="2"/>
        <v>0.15600000000000003</v>
      </c>
      <c r="I33" s="22">
        <f t="shared" si="3"/>
        <v>7.7220722607341613E-2</v>
      </c>
      <c r="J33" s="22">
        <f t="shared" si="10"/>
        <v>1.2431896097133002</v>
      </c>
      <c r="K33" s="74">
        <f t="shared" si="4"/>
        <v>150</v>
      </c>
      <c r="L33" s="74">
        <f t="shared" si="11"/>
        <v>100</v>
      </c>
      <c r="M33" s="74">
        <f t="shared" si="16"/>
        <v>50</v>
      </c>
      <c r="N33" s="77">
        <f t="shared" si="12"/>
        <v>0.66666666666666663</v>
      </c>
      <c r="O33" s="77">
        <f t="shared" si="13"/>
        <v>0.33333333333333331</v>
      </c>
      <c r="P33" s="55">
        <f t="shared" si="14"/>
        <v>0.13333333333333333</v>
      </c>
      <c r="Q33" s="75">
        <f t="shared" si="5"/>
        <v>20</v>
      </c>
      <c r="R33" s="55">
        <f t="shared" si="6"/>
        <v>6.0827625302982198E-2</v>
      </c>
      <c r="S33" s="75">
        <f t="shared" si="7"/>
        <v>9.1241437954473295</v>
      </c>
      <c r="T33" s="76">
        <f t="shared" si="8"/>
        <v>9.1241437954473295</v>
      </c>
    </row>
    <row r="34" spans="6:20" x14ac:dyDescent="0.2">
      <c r="F34" s="23">
        <f t="shared" si="15"/>
        <v>0.53999999999999992</v>
      </c>
      <c r="G34" s="21">
        <f t="shared" si="9"/>
        <v>0.46000000000000008</v>
      </c>
      <c r="H34" s="22">
        <f t="shared" si="2"/>
        <v>0.14600000000000002</v>
      </c>
      <c r="I34" s="22">
        <f t="shared" si="3"/>
        <v>6.6635125872170464E-2</v>
      </c>
      <c r="J34" s="22">
        <f t="shared" si="10"/>
        <v>1.2906106032571796</v>
      </c>
      <c r="K34" s="74">
        <f t="shared" si="4"/>
        <v>160</v>
      </c>
      <c r="L34" s="74">
        <f t="shared" si="11"/>
        <v>100</v>
      </c>
      <c r="M34" s="74">
        <f t="shared" si="16"/>
        <v>60</v>
      </c>
      <c r="N34" s="77">
        <f t="shared" si="12"/>
        <v>0.625</v>
      </c>
      <c r="O34" s="77">
        <f t="shared" si="13"/>
        <v>0.375</v>
      </c>
      <c r="P34" s="55">
        <f t="shared" si="14"/>
        <v>0.13750000000000001</v>
      </c>
      <c r="Q34" s="75">
        <f t="shared" si="5"/>
        <v>22</v>
      </c>
      <c r="R34" s="55">
        <f t="shared" si="6"/>
        <v>6.1618787719331186E-2</v>
      </c>
      <c r="S34" s="75">
        <f t="shared" si="7"/>
        <v>9.8590060350929889</v>
      </c>
      <c r="T34" s="76">
        <f t="shared" si="8"/>
        <v>9.8590060350929907</v>
      </c>
    </row>
    <row r="35" spans="6:20" x14ac:dyDescent="0.2">
      <c r="F35" s="23">
        <f t="shared" si="15"/>
        <v>0.6399999999999999</v>
      </c>
      <c r="G35" s="21">
        <f t="shared" si="9"/>
        <v>0.3600000000000001</v>
      </c>
      <c r="H35" s="22">
        <f t="shared" si="2"/>
        <v>0.13600000000000001</v>
      </c>
      <c r="I35" s="22">
        <f t="shared" si="3"/>
        <v>6.1199999999999997E-2</v>
      </c>
      <c r="J35" s="22">
        <f t="shared" si="10"/>
        <v>1.2418300653594774</v>
      </c>
      <c r="K35" s="74">
        <f t="shared" si="4"/>
        <v>170</v>
      </c>
      <c r="L35" s="74">
        <f t="shared" si="11"/>
        <v>100</v>
      </c>
      <c r="M35" s="74">
        <f t="shared" si="16"/>
        <v>70</v>
      </c>
      <c r="N35" s="77">
        <f t="shared" si="12"/>
        <v>0.58823529411764708</v>
      </c>
      <c r="O35" s="77">
        <f t="shared" si="13"/>
        <v>0.41176470588235292</v>
      </c>
      <c r="P35" s="55">
        <f t="shared" si="14"/>
        <v>0.14117647058823529</v>
      </c>
      <c r="Q35" s="75">
        <f t="shared" si="5"/>
        <v>24</v>
      </c>
      <c r="R35" s="55">
        <f t="shared" si="6"/>
        <v>6.3259229396240887E-2</v>
      </c>
      <c r="S35" s="75">
        <f t="shared" si="7"/>
        <v>10.754068997360951</v>
      </c>
      <c r="T35" s="76">
        <f t="shared" si="8"/>
        <v>10.754068997360951</v>
      </c>
    </row>
    <row r="36" spans="6:20" x14ac:dyDescent="0.2">
      <c r="F36" s="23">
        <f t="shared" si="15"/>
        <v>0.73999999999999988</v>
      </c>
      <c r="G36" s="21">
        <f t="shared" si="9"/>
        <v>0.26000000000000012</v>
      </c>
      <c r="H36" s="22">
        <f t="shared" si="2"/>
        <v>0.12600000000000003</v>
      </c>
      <c r="I36" s="22">
        <f t="shared" si="3"/>
        <v>6.2278728310716173E-2</v>
      </c>
      <c r="J36" s="22">
        <f t="shared" si="10"/>
        <v>1.0597518894528157</v>
      </c>
      <c r="K36" s="74">
        <f t="shared" si="4"/>
        <v>180</v>
      </c>
      <c r="L36" s="74">
        <f t="shared" si="11"/>
        <v>100</v>
      </c>
      <c r="M36" s="74">
        <f t="shared" si="16"/>
        <v>80</v>
      </c>
      <c r="N36" s="77">
        <f t="shared" si="12"/>
        <v>0.55555555555555558</v>
      </c>
      <c r="O36" s="77">
        <f t="shared" si="13"/>
        <v>0.44444444444444442</v>
      </c>
      <c r="P36" s="55">
        <f t="shared" si="14"/>
        <v>0.14444444444444446</v>
      </c>
      <c r="Q36" s="75">
        <f t="shared" si="5"/>
        <v>26</v>
      </c>
      <c r="R36" s="55">
        <f t="shared" si="6"/>
        <v>6.5404722901161949E-2</v>
      </c>
      <c r="S36" s="75">
        <f t="shared" si="7"/>
        <v>11.772850122209151</v>
      </c>
      <c r="T36" s="76">
        <f t="shared" si="8"/>
        <v>11.77285012220915</v>
      </c>
    </row>
    <row r="37" spans="6:20" x14ac:dyDescent="0.2">
      <c r="F37" s="23">
        <f t="shared" si="15"/>
        <v>0.83999999999999986</v>
      </c>
      <c r="G37" s="21">
        <f t="shared" si="9"/>
        <v>0.16000000000000014</v>
      </c>
      <c r="H37" s="22">
        <f t="shared" si="2"/>
        <v>0.11600000000000002</v>
      </c>
      <c r="I37" s="22">
        <f t="shared" si="3"/>
        <v>6.9568958595051564E-2</v>
      </c>
      <c r="J37" s="22">
        <f t="shared" si="10"/>
        <v>0.80495670958603793</v>
      </c>
      <c r="K37" s="74">
        <f t="shared" si="4"/>
        <v>190</v>
      </c>
      <c r="L37" s="74">
        <f t="shared" si="11"/>
        <v>100</v>
      </c>
      <c r="M37" s="74">
        <f t="shared" si="16"/>
        <v>90</v>
      </c>
      <c r="N37" s="77">
        <f t="shared" si="12"/>
        <v>0.52631578947368418</v>
      </c>
      <c r="O37" s="77">
        <f t="shared" si="13"/>
        <v>0.47368421052631576</v>
      </c>
      <c r="P37" s="55">
        <f t="shared" si="14"/>
        <v>0.14736842105263159</v>
      </c>
      <c r="Q37" s="75">
        <f t="shared" si="5"/>
        <v>28</v>
      </c>
      <c r="R37" s="55">
        <f t="shared" si="6"/>
        <v>6.7821257668151128E-2</v>
      </c>
      <c r="S37" s="75">
        <f t="shared" si="7"/>
        <v>12.886038956948715</v>
      </c>
      <c r="T37" s="76">
        <f t="shared" si="8"/>
        <v>12.886038956948719</v>
      </c>
    </row>
    <row r="38" spans="6:20" x14ac:dyDescent="0.2">
      <c r="F38" s="23">
        <f t="shared" si="15"/>
        <v>0.93999999999999984</v>
      </c>
      <c r="G38" s="21">
        <f t="shared" si="9"/>
        <v>6.0000000000000164E-2</v>
      </c>
      <c r="H38" s="22">
        <f t="shared" si="2"/>
        <v>0.10600000000000002</v>
      </c>
      <c r="I38" s="22">
        <f t="shared" si="3"/>
        <v>8.1418916720870191E-2</v>
      </c>
      <c r="J38" s="22">
        <f t="shared" si="10"/>
        <v>0.56497926836465517</v>
      </c>
      <c r="K38" s="74">
        <f t="shared" si="4"/>
        <v>200</v>
      </c>
      <c r="L38" s="74">
        <f t="shared" si="11"/>
        <v>100</v>
      </c>
      <c r="M38" s="74">
        <f t="shared" si="16"/>
        <v>100</v>
      </c>
      <c r="N38" s="77">
        <f t="shared" si="12"/>
        <v>0.5</v>
      </c>
      <c r="O38" s="77">
        <f t="shared" si="13"/>
        <v>0.5</v>
      </c>
      <c r="P38" s="55">
        <f t="shared" si="14"/>
        <v>0.15000000000000002</v>
      </c>
      <c r="Q38" s="75">
        <f t="shared" si="5"/>
        <v>30</v>
      </c>
      <c r="R38" s="55">
        <f t="shared" si="6"/>
        <v>7.0356236397351446E-2</v>
      </c>
      <c r="S38" s="75">
        <f t="shared" si="7"/>
        <v>14.071247279470288</v>
      </c>
      <c r="T38" s="76">
        <f t="shared" si="8"/>
        <v>14.071247279470288</v>
      </c>
    </row>
    <row r="39" spans="6:20" x14ac:dyDescent="0.2">
      <c r="F39" s="23">
        <f t="shared" si="15"/>
        <v>1.0399999999999998</v>
      </c>
      <c r="G39" s="21">
        <f t="shared" si="9"/>
        <v>-3.9999999999999813E-2</v>
      </c>
      <c r="H39" s="22">
        <f t="shared" si="2"/>
        <v>9.6000000000000016E-2</v>
      </c>
      <c r="I39" s="22">
        <f t="shared" si="3"/>
        <v>9.6157371012314988E-2</v>
      </c>
      <c r="J39" s="22">
        <f t="shared" si="10"/>
        <v>0.3743862755502067</v>
      </c>
      <c r="K39" s="74">
        <f t="shared" si="4"/>
        <v>210</v>
      </c>
      <c r="L39" s="74">
        <f t="shared" si="11"/>
        <v>100</v>
      </c>
      <c r="M39" s="74">
        <f t="shared" si="16"/>
        <v>110</v>
      </c>
      <c r="N39" s="77">
        <f t="shared" si="12"/>
        <v>0.47619047619047616</v>
      </c>
      <c r="O39" s="77">
        <f t="shared" si="13"/>
        <v>0.52380952380952384</v>
      </c>
      <c r="P39" s="55">
        <f t="shared" si="14"/>
        <v>0.15238095238095239</v>
      </c>
      <c r="Q39" s="75">
        <f t="shared" si="5"/>
        <v>32</v>
      </c>
      <c r="R39" s="55">
        <f t="shared" si="6"/>
        <v>7.2913143743856268E-2</v>
      </c>
      <c r="S39" s="75">
        <f t="shared" si="7"/>
        <v>15.311760186209817</v>
      </c>
      <c r="T39" s="76">
        <f t="shared" si="8"/>
        <v>15.311760186209813</v>
      </c>
    </row>
    <row r="40" spans="6:20" x14ac:dyDescent="0.2">
      <c r="F40" s="23">
        <f t="shared" si="15"/>
        <v>1.1399999999999999</v>
      </c>
      <c r="G40" s="21">
        <f t="shared" si="9"/>
        <v>-0.1399999999999999</v>
      </c>
      <c r="H40" s="22">
        <f t="shared" si="2"/>
        <v>8.6000000000000007E-2</v>
      </c>
      <c r="I40" s="22">
        <f t="shared" si="3"/>
        <v>0.1126562914354986</v>
      </c>
      <c r="J40" s="22">
        <f t="shared" si="10"/>
        <v>0.230790483768821</v>
      </c>
      <c r="K40" s="74">
        <f t="shared" si="4"/>
        <v>220</v>
      </c>
      <c r="L40" s="74">
        <f t="shared" si="11"/>
        <v>100</v>
      </c>
      <c r="M40" s="74">
        <f t="shared" si="16"/>
        <v>120</v>
      </c>
      <c r="N40" s="77">
        <f t="shared" si="12"/>
        <v>0.45454545454545453</v>
      </c>
      <c r="O40" s="77">
        <f t="shared" si="13"/>
        <v>0.54545454545454541</v>
      </c>
      <c r="P40" s="55">
        <f t="shared" si="14"/>
        <v>0.15454545454545454</v>
      </c>
      <c r="Q40" s="75">
        <f t="shared" si="5"/>
        <v>34</v>
      </c>
      <c r="R40" s="55">
        <f t="shared" si="6"/>
        <v>7.5432636468759987E-2</v>
      </c>
      <c r="S40" s="75">
        <f t="shared" si="7"/>
        <v>16.595180023127195</v>
      </c>
      <c r="T40" s="76">
        <f t="shared" si="8"/>
        <v>16.595180023127195</v>
      </c>
    </row>
    <row r="41" spans="6:20" x14ac:dyDescent="0.2">
      <c r="F41" s="23">
        <f t="shared" si="15"/>
        <v>1.24</v>
      </c>
      <c r="G41" s="21">
        <f t="shared" si="9"/>
        <v>-0.24</v>
      </c>
      <c r="H41" s="22">
        <f t="shared" si="2"/>
        <v>7.5999999999999998E-2</v>
      </c>
      <c r="I41" s="22">
        <f t="shared" si="3"/>
        <v>0.13024837810890391</v>
      </c>
      <c r="J41" s="22">
        <f t="shared" si="10"/>
        <v>0.12284222062728491</v>
      </c>
      <c r="K41" s="74">
        <f t="shared" si="4"/>
        <v>230</v>
      </c>
      <c r="L41" s="74">
        <f t="shared" si="11"/>
        <v>100</v>
      </c>
      <c r="M41" s="74">
        <f t="shared" si="16"/>
        <v>130</v>
      </c>
      <c r="N41" s="77">
        <f t="shared" si="12"/>
        <v>0.43478260869565216</v>
      </c>
      <c r="O41" s="77">
        <f t="shared" si="13"/>
        <v>0.56521739130434778</v>
      </c>
      <c r="P41" s="55">
        <f t="shared" si="14"/>
        <v>0.15652173913043477</v>
      </c>
      <c r="Q41" s="75">
        <f t="shared" si="5"/>
        <v>36</v>
      </c>
      <c r="R41" s="55">
        <f t="shared" si="6"/>
        <v>7.787950559232093E-2</v>
      </c>
      <c r="S41" s="75">
        <f t="shared" si="7"/>
        <v>17.912286286233815</v>
      </c>
      <c r="T41" s="76">
        <f t="shared" si="8"/>
        <v>17.912286286233815</v>
      </c>
    </row>
    <row r="42" spans="6:20" x14ac:dyDescent="0.2">
      <c r="F42" s="23">
        <f t="shared" si="15"/>
        <v>1.34</v>
      </c>
      <c r="G42" s="21">
        <f t="shared" si="9"/>
        <v>-0.34000000000000008</v>
      </c>
      <c r="H42" s="22">
        <f t="shared" si="2"/>
        <v>6.5999999999999989E-2</v>
      </c>
      <c r="I42" s="22">
        <f t="shared" si="3"/>
        <v>0.14854575052824637</v>
      </c>
      <c r="J42" s="22">
        <f t="shared" si="10"/>
        <v>4.0391596384704895E-2</v>
      </c>
      <c r="K42" s="74">
        <f t="shared" si="4"/>
        <v>240</v>
      </c>
      <c r="L42" s="74">
        <f t="shared" si="11"/>
        <v>100</v>
      </c>
      <c r="M42" s="74">
        <f t="shared" si="16"/>
        <v>140</v>
      </c>
      <c r="N42" s="77">
        <f t="shared" si="12"/>
        <v>0.41666666666666669</v>
      </c>
      <c r="O42" s="77">
        <f t="shared" si="13"/>
        <v>0.58333333333333337</v>
      </c>
      <c r="P42" s="55">
        <f t="shared" si="14"/>
        <v>0.15833333333333335</v>
      </c>
      <c r="Q42" s="75">
        <f t="shared" si="5"/>
        <v>38</v>
      </c>
      <c r="R42" s="55">
        <f t="shared" si="6"/>
        <v>8.023403267940607E-2</v>
      </c>
      <c r="S42" s="75">
        <f t="shared" si="7"/>
        <v>19.256167843057458</v>
      </c>
      <c r="T42" s="76">
        <f t="shared" si="8"/>
        <v>19.256167843057455</v>
      </c>
    </row>
    <row r="43" spans="6:20" x14ac:dyDescent="0.2">
      <c r="F43" s="23">
        <f t="shared" si="15"/>
        <v>1.4400000000000002</v>
      </c>
      <c r="G43" s="21">
        <f t="shared" si="9"/>
        <v>-0.44000000000000017</v>
      </c>
      <c r="H43" s="22">
        <f t="shared" si="2"/>
        <v>5.599999999999998E-2</v>
      </c>
      <c r="I43" s="22">
        <f t="shared" si="3"/>
        <v>0.16731718381565</v>
      </c>
      <c r="J43" s="22">
        <f t="shared" si="10"/>
        <v>-2.390668973013086E-2</v>
      </c>
      <c r="K43" s="74">
        <f t="shared" si="4"/>
        <v>250</v>
      </c>
      <c r="L43" s="74">
        <f t="shared" si="11"/>
        <v>100</v>
      </c>
      <c r="M43" s="74">
        <f t="shared" si="16"/>
        <v>150</v>
      </c>
      <c r="N43" s="77">
        <f t="shared" si="12"/>
        <v>0.4</v>
      </c>
      <c r="O43" s="77">
        <f t="shared" si="13"/>
        <v>0.6</v>
      </c>
      <c r="P43" s="55">
        <f t="shared" si="14"/>
        <v>0.16</v>
      </c>
      <c r="Q43" s="75">
        <f t="shared" si="5"/>
        <v>40</v>
      </c>
      <c r="R43" s="55">
        <f t="shared" si="6"/>
        <v>8.2486362509205116E-2</v>
      </c>
      <c r="S43" s="75">
        <f t="shared" si="7"/>
        <v>20.621590627301281</v>
      </c>
      <c r="T43" s="76">
        <f t="shared" si="8"/>
        <v>20.621590627301281</v>
      </c>
    </row>
    <row r="44" spans="6:20" x14ac:dyDescent="0.2">
      <c r="F44" s="23">
        <f t="shared" si="15"/>
        <v>1.5400000000000003</v>
      </c>
      <c r="G44" s="21">
        <f t="shared" si="9"/>
        <v>-0.54000000000000026</v>
      </c>
      <c r="H44" s="22">
        <f t="shared" si="2"/>
        <v>4.5999999999999971E-2</v>
      </c>
      <c r="I44" s="22">
        <f t="shared" si="3"/>
        <v>0.18641952687419849</v>
      </c>
      <c r="J44" s="22">
        <f t="shared" si="10"/>
        <v>-7.5099428878218577E-2</v>
      </c>
      <c r="K44" s="74">
        <f t="shared" si="4"/>
        <v>260</v>
      </c>
      <c r="L44" s="74">
        <f t="shared" si="11"/>
        <v>100</v>
      </c>
      <c r="M44" s="74">
        <f t="shared" si="16"/>
        <v>160</v>
      </c>
      <c r="N44" s="77">
        <f t="shared" si="12"/>
        <v>0.38461538461538464</v>
      </c>
      <c r="O44" s="77">
        <f t="shared" si="13"/>
        <v>0.61538461538461542</v>
      </c>
      <c r="P44" s="55">
        <f t="shared" si="14"/>
        <v>0.16153846153846155</v>
      </c>
      <c r="Q44" s="75">
        <f t="shared" si="5"/>
        <v>42</v>
      </c>
      <c r="R44" s="55">
        <f t="shared" si="6"/>
        <v>8.4632865327194995E-2</v>
      </c>
      <c r="S44" s="75">
        <f t="shared" si="7"/>
        <v>22.004544985070698</v>
      </c>
      <c r="T44" s="76">
        <f t="shared" si="8"/>
        <v>22.004544985070698</v>
      </c>
    </row>
  </sheetData>
  <printOptions headings="1" gridLines="1"/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T44"/>
  <sheetViews>
    <sheetView showGridLines="0" zoomScaleNormal="100" workbookViewId="0">
      <selection activeCell="E31" sqref="E31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7" width="8.42578125" style="1" customWidth="1"/>
    <col min="8" max="8" width="10.140625" style="1" customWidth="1"/>
    <col min="9" max="10" width="9.140625" style="1"/>
    <col min="11" max="11" width="9.140625" style="1" customWidth="1"/>
    <col min="12" max="13" width="9.140625" style="1"/>
    <col min="18" max="16384" width="9.140625" style="1"/>
  </cols>
  <sheetData>
    <row r="2" spans="2:12" s="63" customFormat="1" x14ac:dyDescent="0.2">
      <c r="B2" s="61" t="s">
        <v>43</v>
      </c>
      <c r="C2" s="62"/>
    </row>
    <row r="3" spans="2:12" x14ac:dyDescent="0.2">
      <c r="B3" s="2" t="s">
        <v>18</v>
      </c>
      <c r="C3" s="3"/>
      <c r="D3" s="4"/>
      <c r="E3" s="4"/>
      <c r="F3" s="4"/>
    </row>
    <row r="4" spans="2:12" x14ac:dyDescent="0.2">
      <c r="B4" s="5" t="s">
        <v>0</v>
      </c>
      <c r="C4" s="5"/>
      <c r="D4" s="6"/>
      <c r="E4" s="6"/>
      <c r="F4" s="6"/>
    </row>
    <row r="6" spans="2:12" x14ac:dyDescent="0.2">
      <c r="B6" s="7" t="s">
        <v>1</v>
      </c>
      <c r="C6" s="7"/>
      <c r="D6" s="37">
        <f>'T1-PPC-MVP'!D8</f>
        <v>0.06</v>
      </c>
      <c r="H6" s="9" t="s">
        <v>2</v>
      </c>
      <c r="I6" s="9"/>
      <c r="J6" s="38" t="s">
        <v>19</v>
      </c>
    </row>
    <row r="7" spans="2:12" x14ac:dyDescent="0.2">
      <c r="F7" s="11" t="s">
        <v>3</v>
      </c>
      <c r="G7" s="12" t="s">
        <v>3</v>
      </c>
      <c r="H7" s="13" t="s">
        <v>4</v>
      </c>
      <c r="I7" s="13" t="s">
        <v>5</v>
      </c>
      <c r="J7" s="13" t="s">
        <v>20</v>
      </c>
    </row>
    <row r="8" spans="2:12" x14ac:dyDescent="0.2">
      <c r="B8" s="14" t="s">
        <v>6</v>
      </c>
      <c r="C8" s="15"/>
      <c r="D8" s="16"/>
      <c r="F8" s="17" t="s">
        <v>6</v>
      </c>
      <c r="G8" s="18" t="s">
        <v>7</v>
      </c>
      <c r="H8" s="19" t="s">
        <v>8</v>
      </c>
      <c r="I8" s="19" t="s">
        <v>9</v>
      </c>
      <c r="J8" s="19" t="s">
        <v>21</v>
      </c>
    </row>
    <row r="9" spans="2:12" x14ac:dyDescent="0.2">
      <c r="B9" s="7" t="s">
        <v>10</v>
      </c>
      <c r="C9" s="7"/>
      <c r="D9" s="8">
        <f>'T1-PPC-MVP'!D11</f>
        <v>0.1</v>
      </c>
    </row>
    <row r="10" spans="2:12" x14ac:dyDescent="0.2">
      <c r="B10" s="7" t="s">
        <v>11</v>
      </c>
      <c r="C10" s="7"/>
      <c r="D10" s="8">
        <v>0.1</v>
      </c>
      <c r="F10" s="39" t="s">
        <v>17</v>
      </c>
      <c r="G10" s="16"/>
      <c r="H10" s="16"/>
      <c r="I10" s="16"/>
      <c r="J10" s="16"/>
    </row>
    <row r="11" spans="2:12" x14ac:dyDescent="0.2">
      <c r="B11" s="10" t="s">
        <v>12</v>
      </c>
      <c r="D11" s="24">
        <f>D10^2</f>
        <v>1.0000000000000002E-2</v>
      </c>
      <c r="F11" s="40">
        <f>(D16-(D19*D10*D15))/(D11+D16-(2*D19*D10*D15))</f>
        <v>1.2692307692307692</v>
      </c>
      <c r="G11" s="22">
        <f t="shared" ref="G11" si="0">1-F11</f>
        <v>-0.26923076923076916</v>
      </c>
      <c r="H11" s="22">
        <f>F11*$D$9+(1-F11)*$D$14</f>
        <v>7.3076923076923081E-2</v>
      </c>
      <c r="I11" s="72">
        <f>SQRT(F11^2*$D$11+(1-F11)^2*$D$16+2*F11*(1-F11)*$D$20)</f>
        <v>7.8935221737632649E-2</v>
      </c>
      <c r="J11" s="22">
        <f t="shared" ref="J11" si="1">(H11-$D$6)/I11</f>
        <v>0.16566651475799443</v>
      </c>
    </row>
    <row r="13" spans="2:12" x14ac:dyDescent="0.2">
      <c r="B13" s="25" t="s">
        <v>7</v>
      </c>
      <c r="C13" s="26"/>
      <c r="D13" s="16"/>
      <c r="F13" s="41" t="s">
        <v>22</v>
      </c>
      <c r="G13" s="42"/>
      <c r="H13" s="42"/>
      <c r="I13" s="42"/>
      <c r="J13" s="42"/>
    </row>
    <row r="14" spans="2:12" x14ac:dyDescent="0.2">
      <c r="B14" s="7" t="s">
        <v>10</v>
      </c>
      <c r="C14" s="7"/>
      <c r="D14" s="8">
        <v>0.2</v>
      </c>
      <c r="F14" s="40">
        <f>D15*(D14*D19*D10-D6*D19*D15-D9*D15+D6*D15)/(-D14*D10^2+D6*D10^2+D9*D19*D10*D15+D14*D19*D10*D15-2*D6*D19*D10*D15-D9*D15^2+D6*D15^2)</f>
        <v>4.5882352941176503</v>
      </c>
      <c r="G14" s="22">
        <f>1-F14</f>
        <v>-3.5882352941176503</v>
      </c>
      <c r="H14" s="22">
        <f>F14*$D$9+(1-F14)*$D$14</f>
        <v>-0.25882352941176501</v>
      </c>
      <c r="I14" s="22">
        <f>SQRT(F14^2*$D$11+(1-F14)^2*$D$16+2*F14*(1-F14)*$D$20)</f>
        <v>0.76095459990342917</v>
      </c>
      <c r="J14" s="72">
        <f>(H14-$D$6)/I14</f>
        <v>-0.41897838511289121</v>
      </c>
      <c r="L14" s="28"/>
    </row>
    <row r="15" spans="2:12" x14ac:dyDescent="0.2">
      <c r="B15" s="7" t="s">
        <v>11</v>
      </c>
      <c r="C15" s="7"/>
      <c r="D15" s="8">
        <v>0.3</v>
      </c>
    </row>
    <row r="16" spans="2:12" x14ac:dyDescent="0.2">
      <c r="B16" s="10" t="s">
        <v>12</v>
      </c>
      <c r="D16" s="29">
        <f>D15^2</f>
        <v>0.09</v>
      </c>
      <c r="F16" s="39" t="s">
        <v>61</v>
      </c>
      <c r="G16" s="16"/>
      <c r="H16" s="95" t="s">
        <v>59</v>
      </c>
      <c r="I16" s="95" t="s">
        <v>60</v>
      </c>
      <c r="J16" s="95" t="s">
        <v>62</v>
      </c>
      <c r="K16" s="48" t="s">
        <v>63</v>
      </c>
      <c r="L16" s="48" t="s">
        <v>63</v>
      </c>
    </row>
    <row r="17" spans="2:20" x14ac:dyDescent="0.2">
      <c r="F17" s="74">
        <v>100</v>
      </c>
      <c r="G17" s="75">
        <f>-$D$19*$D$10/$D$15*F17</f>
        <v>-26.666666666666671</v>
      </c>
      <c r="H17" s="55">
        <f>F17/($F17+$G17)</f>
        <v>1.3636363636363638</v>
      </c>
      <c r="I17" s="55">
        <f>G17/($F17+$G17)</f>
        <v>-0.3636363636363637</v>
      </c>
      <c r="J17" s="78">
        <f>SQRT(H17^2*$D$11+I17^2*$D$16+2*H17*I17*$D$10*$D$15*$D$19)</f>
        <v>8.1818181818181845E-2</v>
      </c>
      <c r="K17" s="92">
        <f>J17*(F17+G17)</f>
        <v>6.0000000000000018</v>
      </c>
      <c r="L17" s="92">
        <f>SQRT(F17^2*$D$11+G17^2*$D$16+2*F17*G17*$D$10*$D$15*$D$19)</f>
        <v>6.0000000000000027</v>
      </c>
    </row>
    <row r="18" spans="2:20" x14ac:dyDescent="0.2">
      <c r="B18" s="25" t="s">
        <v>13</v>
      </c>
      <c r="C18" s="26"/>
      <c r="D18" s="16"/>
      <c r="F18" s="88">
        <v>100</v>
      </c>
      <c r="G18" s="89">
        <f>-$P$18*$D$10/$D$15*F18</f>
        <v>26.666666666666671</v>
      </c>
      <c r="H18" s="90">
        <f>F18/($F18+$G18)</f>
        <v>0.78947368421052633</v>
      </c>
      <c r="I18" s="90">
        <f>G18/($F18+$G18)</f>
        <v>0.2105263157894737</v>
      </c>
      <c r="J18" s="91">
        <f>SQRT(H18^2*$D$11+I18^2*$D$16+2*H18*I18*$D$10*$D$15*$P$18)</f>
        <v>4.736842105263158E-2</v>
      </c>
      <c r="K18" s="93">
        <f>J18*(F18+G18)</f>
        <v>6</v>
      </c>
      <c r="L18" s="93">
        <f>SQRT(F18^2*$D$11+G18^2*$D$16+2*F18*G18*$D$10*$D$15*P18)</f>
        <v>6.0000000000000027</v>
      </c>
      <c r="M18" s="85" t="s">
        <v>58</v>
      </c>
      <c r="N18" s="86"/>
      <c r="P18" s="87">
        <f>-D19</f>
        <v>-0.8</v>
      </c>
    </row>
    <row r="19" spans="2:20" x14ac:dyDescent="0.2">
      <c r="B19" s="7" t="s">
        <v>14</v>
      </c>
      <c r="C19" s="7"/>
      <c r="D19" s="73">
        <f>'BT p1-t2-305-1'!D19</f>
        <v>0.8</v>
      </c>
    </row>
    <row r="20" spans="2:20" x14ac:dyDescent="0.2">
      <c r="B20" s="7" t="s">
        <v>15</v>
      </c>
      <c r="C20" s="7"/>
      <c r="D20" s="30">
        <f>D19*D15*D10</f>
        <v>2.4E-2</v>
      </c>
      <c r="H20" s="9" t="s">
        <v>2</v>
      </c>
      <c r="I20" s="9"/>
      <c r="J20" s="38" t="s">
        <v>19</v>
      </c>
    </row>
    <row r="21" spans="2:20" x14ac:dyDescent="0.2">
      <c r="B21" s="1"/>
      <c r="C21" s="1"/>
      <c r="F21" s="11" t="s">
        <v>3</v>
      </c>
      <c r="G21" s="12" t="s">
        <v>3</v>
      </c>
      <c r="H21" s="13" t="s">
        <v>4</v>
      </c>
      <c r="I21" s="13" t="s">
        <v>5</v>
      </c>
      <c r="J21" s="13" t="s">
        <v>20</v>
      </c>
      <c r="K21" s="13" t="s">
        <v>2</v>
      </c>
      <c r="L21" s="79" t="s">
        <v>51</v>
      </c>
      <c r="M21" s="79"/>
      <c r="N21" s="82" t="s">
        <v>52</v>
      </c>
      <c r="O21" s="82"/>
      <c r="P21" s="80" t="s">
        <v>8</v>
      </c>
      <c r="Q21" s="80"/>
      <c r="R21" s="81" t="s">
        <v>31</v>
      </c>
      <c r="S21" s="81"/>
      <c r="T21" s="81"/>
    </row>
    <row r="22" spans="2:20" x14ac:dyDescent="0.2">
      <c r="B22" s="1" t="s">
        <v>16</v>
      </c>
      <c r="C22" s="1"/>
      <c r="F22" s="17" t="s">
        <v>6</v>
      </c>
      <c r="G22" s="18" t="s">
        <v>7</v>
      </c>
      <c r="H22" s="19" t="s">
        <v>8</v>
      </c>
      <c r="I22" s="19" t="s">
        <v>9</v>
      </c>
      <c r="J22" s="19" t="s">
        <v>21</v>
      </c>
      <c r="K22" s="19" t="s">
        <v>50</v>
      </c>
      <c r="L22" s="19" t="s">
        <v>6</v>
      </c>
      <c r="M22" s="19" t="s">
        <v>7</v>
      </c>
      <c r="N22" s="19" t="s">
        <v>6</v>
      </c>
      <c r="O22" s="19" t="s">
        <v>7</v>
      </c>
      <c r="P22" s="19" t="s">
        <v>53</v>
      </c>
      <c r="Q22" s="19" t="s">
        <v>50</v>
      </c>
      <c r="R22" s="83" t="s">
        <v>53</v>
      </c>
      <c r="S22" s="83" t="s">
        <v>50</v>
      </c>
      <c r="T22" s="83" t="s">
        <v>50</v>
      </c>
    </row>
    <row r="23" spans="2:20" x14ac:dyDescent="0.2">
      <c r="B23" s="1"/>
      <c r="C23" s="1"/>
      <c r="F23" s="20">
        <v>-0.5</v>
      </c>
      <c r="G23" s="21">
        <f>1-F23</f>
        <v>1.5</v>
      </c>
      <c r="H23" s="22">
        <f t="shared" ref="H23:H44" si="2">F23*$D$9+(1-F23)*$D$14</f>
        <v>0.25000000000000006</v>
      </c>
      <c r="I23" s="22">
        <f t="shared" ref="I23:I44" si="3">SQRT(F23^2*$D$11+(1-F23)^2*$D$16+2*F23*(1-F23)*$D$20)</f>
        <v>0.41109609582188927</v>
      </c>
      <c r="J23" s="22">
        <f>(H23-$D$6)/I23</f>
        <v>0.4621790426399941</v>
      </c>
      <c r="K23" s="74">
        <f t="shared" ref="K23:K44" si="4">L23+M23</f>
        <v>50</v>
      </c>
      <c r="L23" s="74">
        <v>100</v>
      </c>
      <c r="M23" s="74">
        <f>-50</f>
        <v>-50</v>
      </c>
      <c r="N23" s="77">
        <f>L23/K23</f>
        <v>2</v>
      </c>
      <c r="O23" s="77">
        <f>M23/K23</f>
        <v>-1</v>
      </c>
      <c r="P23" s="55">
        <f>N23*$D$9+O23*$D$14</f>
        <v>0</v>
      </c>
      <c r="Q23" s="75">
        <f t="shared" ref="Q23:Q44" si="5">L23*$D$9+M23*$D$14</f>
        <v>0</v>
      </c>
      <c r="R23" s="55">
        <f t="shared" ref="R23:R44" si="6">SQRT(N23^2*$D$11+O23^2*$D$16+2*N23*O23*$D$10*$D$15*$D$19)</f>
        <v>0.18439088914585774</v>
      </c>
      <c r="S23" s="75">
        <f t="shared" ref="S23:S44" si="7">R23*K23</f>
        <v>9.2195444572928871</v>
      </c>
      <c r="T23" s="76">
        <f t="shared" ref="T23:T44" si="8">SQRT(L23^2*$D$11+M23^2*$D$16+2*L23*M23*$D$10*$D$15*$D$19)</f>
        <v>9.2195444572928871</v>
      </c>
    </row>
    <row r="24" spans="2:20" x14ac:dyDescent="0.2">
      <c r="B24" s="31"/>
      <c r="C24" s="31"/>
      <c r="D24" s="31"/>
      <c r="F24" s="23">
        <f>F23+10%</f>
        <v>-0.4</v>
      </c>
      <c r="G24" s="21">
        <f t="shared" ref="G24:G44" si="9">1-F24</f>
        <v>1.4</v>
      </c>
      <c r="H24" s="22">
        <f t="shared" si="2"/>
        <v>0.23999999999999996</v>
      </c>
      <c r="I24" s="22">
        <f t="shared" si="3"/>
        <v>0.38874155939389859</v>
      </c>
      <c r="J24" s="22">
        <f t="shared" ref="J24:J44" si="10">(H24-$D$6)/I24</f>
        <v>0.46303256148029209</v>
      </c>
      <c r="K24" s="74">
        <f t="shared" si="4"/>
        <v>60</v>
      </c>
      <c r="L24" s="74">
        <f t="shared" ref="L24:L44" si="11">$L$23</f>
        <v>100</v>
      </c>
      <c r="M24" s="74">
        <f>M23+10</f>
        <v>-40</v>
      </c>
      <c r="N24" s="77">
        <f t="shared" ref="N24:N44" si="12">L24/K24</f>
        <v>1.6666666666666667</v>
      </c>
      <c r="O24" s="77">
        <f t="shared" ref="O24:O44" si="13">M24/K24</f>
        <v>-0.66666666666666663</v>
      </c>
      <c r="P24" s="55">
        <f t="shared" ref="P24:P44" si="14">N24*$D$9+O24*$D$14</f>
        <v>3.3333333333333354E-2</v>
      </c>
      <c r="Q24" s="75">
        <f t="shared" si="5"/>
        <v>2</v>
      </c>
      <c r="R24" s="55">
        <f t="shared" si="6"/>
        <v>0.12018504251546633</v>
      </c>
      <c r="S24" s="75">
        <f t="shared" si="7"/>
        <v>7.21110255092798</v>
      </c>
      <c r="T24" s="76">
        <f t="shared" si="8"/>
        <v>7.2111025509279782</v>
      </c>
    </row>
    <row r="25" spans="2:20" x14ac:dyDescent="0.2">
      <c r="B25" s="31"/>
      <c r="C25" s="31"/>
      <c r="D25" s="31"/>
      <c r="F25" s="23">
        <f t="shared" ref="F25:F44" si="15">F24+10%</f>
        <v>-0.30000000000000004</v>
      </c>
      <c r="G25" s="21">
        <f t="shared" si="9"/>
        <v>1.3</v>
      </c>
      <c r="H25" s="22">
        <f t="shared" si="2"/>
        <v>0.23</v>
      </c>
      <c r="I25" s="22">
        <f t="shared" si="3"/>
        <v>0.36644235563045929</v>
      </c>
      <c r="J25" s="22">
        <f t="shared" si="10"/>
        <v>0.46392017022027171</v>
      </c>
      <c r="K25" s="74">
        <f t="shared" si="4"/>
        <v>70</v>
      </c>
      <c r="L25" s="74">
        <f t="shared" si="11"/>
        <v>100</v>
      </c>
      <c r="M25" s="74">
        <f t="shared" ref="M25:M44" si="16">M24+10</f>
        <v>-30</v>
      </c>
      <c r="N25" s="77">
        <f t="shared" si="12"/>
        <v>1.4285714285714286</v>
      </c>
      <c r="O25" s="77">
        <f t="shared" si="13"/>
        <v>-0.42857142857142855</v>
      </c>
      <c r="P25" s="55">
        <f t="shared" si="14"/>
        <v>5.7142857142857162E-2</v>
      </c>
      <c r="Q25" s="75">
        <f t="shared" si="5"/>
        <v>4</v>
      </c>
      <c r="R25" s="55">
        <f t="shared" si="6"/>
        <v>8.6896607575688817E-2</v>
      </c>
      <c r="S25" s="75">
        <f t="shared" si="7"/>
        <v>6.0827625302982176</v>
      </c>
      <c r="T25" s="76">
        <f t="shared" si="8"/>
        <v>6.0827625302982193</v>
      </c>
    </row>
    <row r="26" spans="2:20" x14ac:dyDescent="0.2">
      <c r="B26" s="32"/>
      <c r="C26" s="32"/>
      <c r="D26" s="31"/>
      <c r="F26" s="23">
        <f t="shared" si="15"/>
        <v>-0.20000000000000004</v>
      </c>
      <c r="G26" s="21">
        <f t="shared" si="9"/>
        <v>1.2</v>
      </c>
      <c r="H26" s="22">
        <f t="shared" si="2"/>
        <v>0.21999999999999997</v>
      </c>
      <c r="I26" s="22">
        <f t="shared" si="3"/>
        <v>0.34420923869065456</v>
      </c>
      <c r="J26" s="22">
        <f t="shared" si="10"/>
        <v>0.46483354313390207</v>
      </c>
      <c r="K26" s="74">
        <f t="shared" si="4"/>
        <v>80</v>
      </c>
      <c r="L26" s="74">
        <f t="shared" si="11"/>
        <v>100</v>
      </c>
      <c r="M26" s="74">
        <f t="shared" si="16"/>
        <v>-20</v>
      </c>
      <c r="N26" s="77">
        <f t="shared" si="12"/>
        <v>1.25</v>
      </c>
      <c r="O26" s="77">
        <f t="shared" si="13"/>
        <v>-0.25</v>
      </c>
      <c r="P26" s="55">
        <f t="shared" si="14"/>
        <v>7.4999999999999997E-2</v>
      </c>
      <c r="Q26" s="75">
        <f t="shared" si="5"/>
        <v>6</v>
      </c>
      <c r="R26" s="55">
        <f t="shared" si="6"/>
        <v>7.9056941504209513E-2</v>
      </c>
      <c r="S26" s="75">
        <f t="shared" si="7"/>
        <v>6.3245553203367608</v>
      </c>
      <c r="T26" s="76">
        <f t="shared" si="8"/>
        <v>6.324555320336759</v>
      </c>
    </row>
    <row r="27" spans="2:20" x14ac:dyDescent="0.2">
      <c r="B27" s="33"/>
      <c r="C27" s="33"/>
      <c r="D27" s="34"/>
      <c r="F27" s="23">
        <f t="shared" si="15"/>
        <v>-0.10000000000000003</v>
      </c>
      <c r="G27" s="21">
        <f t="shared" si="9"/>
        <v>1.1000000000000001</v>
      </c>
      <c r="H27" s="22">
        <f t="shared" si="2"/>
        <v>0.21000000000000002</v>
      </c>
      <c r="I27" s="22">
        <f t="shared" si="3"/>
        <v>0.32205589576966293</v>
      </c>
      <c r="J27" s="22">
        <f t="shared" si="10"/>
        <v>0.46575765874903058</v>
      </c>
      <c r="K27" s="74">
        <f t="shared" si="4"/>
        <v>90</v>
      </c>
      <c r="L27" s="74">
        <f t="shared" si="11"/>
        <v>100</v>
      </c>
      <c r="M27" s="74">
        <f t="shared" si="16"/>
        <v>-10</v>
      </c>
      <c r="N27" s="77">
        <f t="shared" si="12"/>
        <v>1.1111111111111112</v>
      </c>
      <c r="O27" s="77">
        <f t="shared" si="13"/>
        <v>-0.1111111111111111</v>
      </c>
      <c r="P27" s="55">
        <f t="shared" si="14"/>
        <v>8.8888888888888892E-2</v>
      </c>
      <c r="Q27" s="75">
        <f t="shared" si="5"/>
        <v>8</v>
      </c>
      <c r="R27" s="55">
        <f t="shared" si="6"/>
        <v>8.6780551954518406E-2</v>
      </c>
      <c r="S27" s="75">
        <f t="shared" si="7"/>
        <v>7.8102496759066566</v>
      </c>
      <c r="T27" s="76">
        <f t="shared" si="8"/>
        <v>7.8102496759066549</v>
      </c>
    </row>
    <row r="28" spans="2:20" x14ac:dyDescent="0.2">
      <c r="B28" s="33"/>
      <c r="C28" s="33"/>
      <c r="D28" s="34"/>
      <c r="F28" s="23">
        <f t="shared" si="15"/>
        <v>0</v>
      </c>
      <c r="G28" s="21">
        <f t="shared" si="9"/>
        <v>1</v>
      </c>
      <c r="H28" s="22">
        <f t="shared" si="2"/>
        <v>0.2</v>
      </c>
      <c r="I28" s="22">
        <f t="shared" si="3"/>
        <v>0.3</v>
      </c>
      <c r="J28" s="22">
        <f t="shared" si="10"/>
        <v>0.46666666666666673</v>
      </c>
      <c r="K28" s="74">
        <f t="shared" si="4"/>
        <v>100</v>
      </c>
      <c r="L28" s="74">
        <f t="shared" si="11"/>
        <v>100</v>
      </c>
      <c r="M28" s="74">
        <f t="shared" si="16"/>
        <v>0</v>
      </c>
      <c r="N28" s="77">
        <f t="shared" si="12"/>
        <v>1</v>
      </c>
      <c r="O28" s="77">
        <f t="shared" si="13"/>
        <v>0</v>
      </c>
      <c r="P28" s="55">
        <f t="shared" si="14"/>
        <v>0.1</v>
      </c>
      <c r="Q28" s="75">
        <f t="shared" si="5"/>
        <v>10</v>
      </c>
      <c r="R28" s="55">
        <f t="shared" si="6"/>
        <v>0.1</v>
      </c>
      <c r="S28" s="75">
        <f t="shared" si="7"/>
        <v>10</v>
      </c>
      <c r="T28" s="76">
        <f t="shared" si="8"/>
        <v>10</v>
      </c>
    </row>
    <row r="29" spans="2:20" x14ac:dyDescent="0.2">
      <c r="B29" s="33"/>
      <c r="C29" s="33"/>
      <c r="D29" s="34"/>
      <c r="F29" s="23">
        <f t="shared" si="15"/>
        <v>0.1</v>
      </c>
      <c r="G29" s="21">
        <f t="shared" si="9"/>
        <v>0.9</v>
      </c>
      <c r="H29" s="22">
        <f t="shared" si="2"/>
        <v>0.19000000000000003</v>
      </c>
      <c r="I29" s="22">
        <f t="shared" si="3"/>
        <v>0.27806474066303338</v>
      </c>
      <c r="J29" s="22">
        <f t="shared" si="10"/>
        <v>0.46751702387731953</v>
      </c>
      <c r="K29" s="74">
        <f t="shared" si="4"/>
        <v>110</v>
      </c>
      <c r="L29" s="74">
        <f t="shared" si="11"/>
        <v>100</v>
      </c>
      <c r="M29" s="74">
        <f t="shared" si="16"/>
        <v>10</v>
      </c>
      <c r="N29" s="77">
        <f t="shared" si="12"/>
        <v>0.90909090909090906</v>
      </c>
      <c r="O29" s="77">
        <f t="shared" si="13"/>
        <v>9.0909090909090912E-2</v>
      </c>
      <c r="P29" s="55">
        <f t="shared" si="14"/>
        <v>0.1090909090909091</v>
      </c>
      <c r="Q29" s="75">
        <f t="shared" si="5"/>
        <v>12</v>
      </c>
      <c r="R29" s="55">
        <f t="shared" si="6"/>
        <v>0.1139087644194697</v>
      </c>
      <c r="S29" s="75">
        <f t="shared" si="7"/>
        <v>12.529964086141668</v>
      </c>
      <c r="T29" s="76">
        <f t="shared" si="8"/>
        <v>12.529964086141668</v>
      </c>
    </row>
    <row r="30" spans="2:20" x14ac:dyDescent="0.2">
      <c r="B30" s="33"/>
      <c r="C30" s="33"/>
      <c r="D30" s="34"/>
      <c r="F30" s="23">
        <f t="shared" si="15"/>
        <v>0.2</v>
      </c>
      <c r="G30" s="21">
        <f t="shared" si="9"/>
        <v>0.8</v>
      </c>
      <c r="H30" s="22">
        <f t="shared" si="2"/>
        <v>0.18000000000000005</v>
      </c>
      <c r="I30" s="22">
        <f t="shared" si="3"/>
        <v>0.25628109567426155</v>
      </c>
      <c r="J30" s="22">
        <f t="shared" si="10"/>
        <v>0.46823586298586173</v>
      </c>
      <c r="K30" s="74">
        <f t="shared" si="4"/>
        <v>120</v>
      </c>
      <c r="L30" s="74">
        <f t="shared" si="11"/>
        <v>100</v>
      </c>
      <c r="M30" s="74">
        <f t="shared" si="16"/>
        <v>20</v>
      </c>
      <c r="N30" s="77">
        <f t="shared" si="12"/>
        <v>0.83333333333333337</v>
      </c>
      <c r="O30" s="77">
        <f t="shared" si="13"/>
        <v>0.16666666666666666</v>
      </c>
      <c r="P30" s="55">
        <f t="shared" si="14"/>
        <v>0.11666666666666667</v>
      </c>
      <c r="Q30" s="75">
        <f t="shared" si="5"/>
        <v>14</v>
      </c>
      <c r="R30" s="55">
        <f t="shared" si="6"/>
        <v>0.12692955176439849</v>
      </c>
      <c r="S30" s="75">
        <f t="shared" si="7"/>
        <v>15.231546211727819</v>
      </c>
      <c r="T30" s="76">
        <f t="shared" si="8"/>
        <v>15.231546211727817</v>
      </c>
    </row>
    <row r="31" spans="2:20" x14ac:dyDescent="0.2">
      <c r="B31" s="32"/>
      <c r="C31" s="32"/>
      <c r="D31" s="35"/>
      <c r="F31" s="23">
        <f t="shared" si="15"/>
        <v>0.30000000000000004</v>
      </c>
      <c r="G31" s="21">
        <f t="shared" si="9"/>
        <v>0.7</v>
      </c>
      <c r="H31" s="22">
        <f t="shared" si="2"/>
        <v>0.16999999999999998</v>
      </c>
      <c r="I31" s="22">
        <f t="shared" si="3"/>
        <v>0.23469128658729532</v>
      </c>
      <c r="J31" s="22">
        <f t="shared" si="10"/>
        <v>0.46870082651783751</v>
      </c>
      <c r="K31" s="74">
        <f t="shared" si="4"/>
        <v>130</v>
      </c>
      <c r="L31" s="74">
        <f t="shared" si="11"/>
        <v>100</v>
      </c>
      <c r="M31" s="74">
        <f t="shared" si="16"/>
        <v>30</v>
      </c>
      <c r="N31" s="77">
        <f t="shared" si="12"/>
        <v>0.76923076923076927</v>
      </c>
      <c r="O31" s="77">
        <f t="shared" si="13"/>
        <v>0.23076923076923078</v>
      </c>
      <c r="P31" s="55">
        <f t="shared" si="14"/>
        <v>0.12307692307692308</v>
      </c>
      <c r="Q31" s="75">
        <f t="shared" si="5"/>
        <v>16</v>
      </c>
      <c r="R31" s="55">
        <f t="shared" si="6"/>
        <v>0.13867504905630729</v>
      </c>
      <c r="S31" s="75">
        <f t="shared" si="7"/>
        <v>18.027756377319946</v>
      </c>
      <c r="T31" s="76">
        <f t="shared" si="8"/>
        <v>18.027756377319946</v>
      </c>
    </row>
    <row r="32" spans="2:20" x14ac:dyDescent="0.2">
      <c r="F32" s="23">
        <f t="shared" si="15"/>
        <v>0.4</v>
      </c>
      <c r="G32" s="21">
        <f t="shared" si="9"/>
        <v>0.6</v>
      </c>
      <c r="H32" s="22">
        <f t="shared" si="2"/>
        <v>0.16</v>
      </c>
      <c r="I32" s="22">
        <f t="shared" si="3"/>
        <v>0.2133541656495134</v>
      </c>
      <c r="J32" s="22">
        <f t="shared" si="10"/>
        <v>0.46870423033724384</v>
      </c>
      <c r="K32" s="74">
        <f t="shared" si="4"/>
        <v>140</v>
      </c>
      <c r="L32" s="74">
        <f t="shared" si="11"/>
        <v>100</v>
      </c>
      <c r="M32" s="74">
        <f t="shared" si="16"/>
        <v>40</v>
      </c>
      <c r="N32" s="77">
        <f t="shared" si="12"/>
        <v>0.7142857142857143</v>
      </c>
      <c r="O32" s="77">
        <f t="shared" si="13"/>
        <v>0.2857142857142857</v>
      </c>
      <c r="P32" s="55">
        <f t="shared" si="14"/>
        <v>0.12857142857142859</v>
      </c>
      <c r="Q32" s="75">
        <f t="shared" si="5"/>
        <v>18</v>
      </c>
      <c r="R32" s="55">
        <f t="shared" si="6"/>
        <v>0.1491472358415793</v>
      </c>
      <c r="S32" s="75">
        <f t="shared" si="7"/>
        <v>20.880613017821101</v>
      </c>
      <c r="T32" s="76">
        <f t="shared" si="8"/>
        <v>20.880613017821101</v>
      </c>
    </row>
    <row r="33" spans="6:20" x14ac:dyDescent="0.2">
      <c r="F33" s="23">
        <f t="shared" si="15"/>
        <v>0.5</v>
      </c>
      <c r="G33" s="21">
        <f t="shared" si="9"/>
        <v>0.5</v>
      </c>
      <c r="H33" s="22">
        <f t="shared" si="2"/>
        <v>0.15000000000000002</v>
      </c>
      <c r="I33" s="22">
        <f t="shared" si="3"/>
        <v>0.19235384061671346</v>
      </c>
      <c r="J33" s="22">
        <f t="shared" si="10"/>
        <v>0.46788772041903282</v>
      </c>
      <c r="K33" s="74">
        <f t="shared" si="4"/>
        <v>150</v>
      </c>
      <c r="L33" s="74">
        <f t="shared" si="11"/>
        <v>100</v>
      </c>
      <c r="M33" s="74">
        <f t="shared" si="16"/>
        <v>50</v>
      </c>
      <c r="N33" s="77">
        <f t="shared" si="12"/>
        <v>0.66666666666666663</v>
      </c>
      <c r="O33" s="77">
        <f t="shared" si="13"/>
        <v>0.33333333333333331</v>
      </c>
      <c r="P33" s="55">
        <f t="shared" si="14"/>
        <v>0.13333333333333333</v>
      </c>
      <c r="Q33" s="75">
        <f t="shared" si="5"/>
        <v>20</v>
      </c>
      <c r="R33" s="55">
        <f t="shared" si="6"/>
        <v>0.15846485765339619</v>
      </c>
      <c r="S33" s="75">
        <f t="shared" si="7"/>
        <v>23.769728648009426</v>
      </c>
      <c r="T33" s="76">
        <f t="shared" si="8"/>
        <v>23.769728648009426</v>
      </c>
    </row>
    <row r="34" spans="6:20" x14ac:dyDescent="0.2">
      <c r="F34" s="23">
        <f t="shared" si="15"/>
        <v>0.6</v>
      </c>
      <c r="G34" s="21">
        <f t="shared" si="9"/>
        <v>0.4</v>
      </c>
      <c r="H34" s="22">
        <f t="shared" si="2"/>
        <v>0.14000000000000001</v>
      </c>
      <c r="I34" s="22">
        <f t="shared" si="3"/>
        <v>0.17181385275931624</v>
      </c>
      <c r="J34" s="22">
        <f t="shared" si="10"/>
        <v>0.46562019717971892</v>
      </c>
      <c r="K34" s="74">
        <f t="shared" si="4"/>
        <v>160</v>
      </c>
      <c r="L34" s="74">
        <f t="shared" si="11"/>
        <v>100</v>
      </c>
      <c r="M34" s="74">
        <f t="shared" si="16"/>
        <v>60</v>
      </c>
      <c r="N34" s="77">
        <f t="shared" si="12"/>
        <v>0.625</v>
      </c>
      <c r="O34" s="77">
        <f t="shared" si="13"/>
        <v>0.375</v>
      </c>
      <c r="P34" s="55">
        <f t="shared" si="14"/>
        <v>0.13750000000000001</v>
      </c>
      <c r="Q34" s="75">
        <f t="shared" si="5"/>
        <v>22</v>
      </c>
      <c r="R34" s="55">
        <f t="shared" si="6"/>
        <v>0.16677080080157916</v>
      </c>
      <c r="S34" s="75">
        <f t="shared" si="7"/>
        <v>26.683328128252665</v>
      </c>
      <c r="T34" s="76">
        <f t="shared" si="8"/>
        <v>26.683328128252668</v>
      </c>
    </row>
    <row r="35" spans="6:20" x14ac:dyDescent="0.2">
      <c r="F35" s="23">
        <f t="shared" si="15"/>
        <v>0.7</v>
      </c>
      <c r="G35" s="21">
        <f t="shared" si="9"/>
        <v>0.30000000000000004</v>
      </c>
      <c r="H35" s="22">
        <f t="shared" si="2"/>
        <v>0.13</v>
      </c>
      <c r="I35" s="22">
        <f t="shared" si="3"/>
        <v>0.15192103211866356</v>
      </c>
      <c r="J35" s="22">
        <f t="shared" si="10"/>
        <v>0.46076569533390155</v>
      </c>
      <c r="K35" s="74">
        <f t="shared" si="4"/>
        <v>170</v>
      </c>
      <c r="L35" s="74">
        <f t="shared" si="11"/>
        <v>100</v>
      </c>
      <c r="M35" s="74">
        <f t="shared" si="16"/>
        <v>70</v>
      </c>
      <c r="N35" s="77">
        <f t="shared" si="12"/>
        <v>0.58823529411764708</v>
      </c>
      <c r="O35" s="77">
        <f t="shared" si="13"/>
        <v>0.41176470588235292</v>
      </c>
      <c r="P35" s="55">
        <f t="shared" si="14"/>
        <v>0.14117647058823529</v>
      </c>
      <c r="Q35" s="75">
        <f t="shared" si="5"/>
        <v>24</v>
      </c>
      <c r="R35" s="55">
        <f t="shared" si="6"/>
        <v>0.17420109288189231</v>
      </c>
      <c r="S35" s="75">
        <f t="shared" si="7"/>
        <v>29.614185789921692</v>
      </c>
      <c r="T35" s="76">
        <f t="shared" si="8"/>
        <v>29.614185789921695</v>
      </c>
    </row>
    <row r="36" spans="6:20" x14ac:dyDescent="0.2">
      <c r="F36" s="23">
        <f t="shared" si="15"/>
        <v>0.79999999999999993</v>
      </c>
      <c r="G36" s="21">
        <f t="shared" si="9"/>
        <v>0.20000000000000007</v>
      </c>
      <c r="H36" s="22">
        <f t="shared" si="2"/>
        <v>0.12000000000000002</v>
      </c>
      <c r="I36" s="22">
        <f t="shared" si="3"/>
        <v>0.13296616110875731</v>
      </c>
      <c r="J36" s="22">
        <f t="shared" si="10"/>
        <v>0.45124262819714028</v>
      </c>
      <c r="K36" s="74">
        <f t="shared" si="4"/>
        <v>180</v>
      </c>
      <c r="L36" s="74">
        <f t="shared" si="11"/>
        <v>100</v>
      </c>
      <c r="M36" s="74">
        <f t="shared" si="16"/>
        <v>80</v>
      </c>
      <c r="N36" s="77">
        <f t="shared" si="12"/>
        <v>0.55555555555555558</v>
      </c>
      <c r="O36" s="77">
        <f t="shared" si="13"/>
        <v>0.44444444444444442</v>
      </c>
      <c r="P36" s="55">
        <f t="shared" si="14"/>
        <v>0.14444444444444446</v>
      </c>
      <c r="Q36" s="75">
        <f t="shared" si="5"/>
        <v>26</v>
      </c>
      <c r="R36" s="55">
        <f t="shared" si="6"/>
        <v>0.18087578440110785</v>
      </c>
      <c r="S36" s="75">
        <f t="shared" si="7"/>
        <v>32.557641192199412</v>
      </c>
      <c r="T36" s="76">
        <f t="shared" si="8"/>
        <v>32.557641192199412</v>
      </c>
    </row>
    <row r="37" spans="6:20" x14ac:dyDescent="0.2">
      <c r="F37" s="23">
        <f t="shared" si="15"/>
        <v>0.89999999999999991</v>
      </c>
      <c r="G37" s="21">
        <f t="shared" si="9"/>
        <v>0.10000000000000009</v>
      </c>
      <c r="H37" s="22">
        <f t="shared" si="2"/>
        <v>0.11000000000000001</v>
      </c>
      <c r="I37" s="22">
        <f t="shared" si="3"/>
        <v>0.1154123043700281</v>
      </c>
      <c r="J37" s="22">
        <f t="shared" si="10"/>
        <v>0.43322937075836365</v>
      </c>
      <c r="K37" s="74">
        <f t="shared" si="4"/>
        <v>190</v>
      </c>
      <c r="L37" s="74">
        <f t="shared" si="11"/>
        <v>100</v>
      </c>
      <c r="M37" s="74">
        <f t="shared" si="16"/>
        <v>90</v>
      </c>
      <c r="N37" s="77">
        <f t="shared" si="12"/>
        <v>0.52631578947368418</v>
      </c>
      <c r="O37" s="77">
        <f t="shared" si="13"/>
        <v>0.47368421052631576</v>
      </c>
      <c r="P37" s="55">
        <f t="shared" si="14"/>
        <v>0.14736842105263159</v>
      </c>
      <c r="Q37" s="75">
        <f t="shared" si="5"/>
        <v>28</v>
      </c>
      <c r="R37" s="55">
        <f t="shared" si="6"/>
        <v>0.18689769373226001</v>
      </c>
      <c r="S37" s="75">
        <f t="shared" si="7"/>
        <v>35.510561809129399</v>
      </c>
      <c r="T37" s="76">
        <f t="shared" si="8"/>
        <v>35.510561809129406</v>
      </c>
    </row>
    <row r="38" spans="6:20" x14ac:dyDescent="0.2">
      <c r="F38" s="23">
        <f t="shared" si="15"/>
        <v>0.99999999999999989</v>
      </c>
      <c r="G38" s="21">
        <f t="shared" si="9"/>
        <v>0</v>
      </c>
      <c r="H38" s="22">
        <f t="shared" si="2"/>
        <v>0.10000000000000002</v>
      </c>
      <c r="I38" s="22">
        <f t="shared" si="3"/>
        <v>0.10000000000000003</v>
      </c>
      <c r="J38" s="22">
        <f t="shared" si="10"/>
        <v>0.40000000000000008</v>
      </c>
      <c r="K38" s="74">
        <f t="shared" si="4"/>
        <v>200</v>
      </c>
      <c r="L38" s="74">
        <f t="shared" si="11"/>
        <v>100</v>
      </c>
      <c r="M38" s="74">
        <f t="shared" si="16"/>
        <v>100</v>
      </c>
      <c r="N38" s="77">
        <f t="shared" si="12"/>
        <v>0.5</v>
      </c>
      <c r="O38" s="77">
        <f t="shared" si="13"/>
        <v>0.5</v>
      </c>
      <c r="P38" s="55">
        <f t="shared" si="14"/>
        <v>0.15000000000000002</v>
      </c>
      <c r="Q38" s="75">
        <f t="shared" si="5"/>
        <v>30</v>
      </c>
      <c r="R38" s="55">
        <f t="shared" si="6"/>
        <v>0.19235384061671346</v>
      </c>
      <c r="S38" s="75">
        <f t="shared" si="7"/>
        <v>38.470768123342694</v>
      </c>
      <c r="T38" s="76">
        <f t="shared" si="8"/>
        <v>38.470768123342687</v>
      </c>
    </row>
    <row r="39" spans="6:20" x14ac:dyDescent="0.2">
      <c r="F39" s="23">
        <f t="shared" si="15"/>
        <v>1.0999999999999999</v>
      </c>
      <c r="G39" s="21">
        <f t="shared" si="9"/>
        <v>-9.9999999999999867E-2</v>
      </c>
      <c r="H39" s="22">
        <f t="shared" si="2"/>
        <v>9.0000000000000011E-2</v>
      </c>
      <c r="I39" s="22">
        <f t="shared" si="3"/>
        <v>8.7863530545955221E-2</v>
      </c>
      <c r="J39" s="22">
        <f t="shared" si="10"/>
        <v>0.34143859020448908</v>
      </c>
      <c r="K39" s="74">
        <f t="shared" si="4"/>
        <v>210</v>
      </c>
      <c r="L39" s="74">
        <f t="shared" si="11"/>
        <v>100</v>
      </c>
      <c r="M39" s="74">
        <f t="shared" si="16"/>
        <v>110</v>
      </c>
      <c r="N39" s="77">
        <f t="shared" si="12"/>
        <v>0.47619047619047616</v>
      </c>
      <c r="O39" s="77">
        <f t="shared" si="13"/>
        <v>0.52380952380952384</v>
      </c>
      <c r="P39" s="55">
        <f t="shared" si="14"/>
        <v>0.15238095238095239</v>
      </c>
      <c r="Q39" s="75">
        <f t="shared" si="5"/>
        <v>32</v>
      </c>
      <c r="R39" s="55">
        <f t="shared" si="6"/>
        <v>0.19731761290572061</v>
      </c>
      <c r="S39" s="75">
        <f t="shared" si="7"/>
        <v>41.436698710201327</v>
      </c>
      <c r="T39" s="76">
        <f t="shared" si="8"/>
        <v>41.43669871020132</v>
      </c>
    </row>
    <row r="40" spans="6:20" x14ac:dyDescent="0.2">
      <c r="F40" s="23">
        <f t="shared" si="15"/>
        <v>1.2</v>
      </c>
      <c r="G40" s="21">
        <f t="shared" si="9"/>
        <v>-0.19999999999999996</v>
      </c>
      <c r="H40" s="22">
        <f t="shared" si="2"/>
        <v>0.08</v>
      </c>
      <c r="I40" s="22">
        <f t="shared" si="3"/>
        <v>8.0498447189992453E-2</v>
      </c>
      <c r="J40" s="22">
        <f t="shared" si="10"/>
        <v>0.2484519974999766</v>
      </c>
      <c r="K40" s="74">
        <f t="shared" si="4"/>
        <v>220</v>
      </c>
      <c r="L40" s="74">
        <f t="shared" si="11"/>
        <v>100</v>
      </c>
      <c r="M40" s="74">
        <f t="shared" si="16"/>
        <v>120</v>
      </c>
      <c r="N40" s="77">
        <f t="shared" si="12"/>
        <v>0.45454545454545453</v>
      </c>
      <c r="O40" s="77">
        <f t="shared" si="13"/>
        <v>0.54545454545454541</v>
      </c>
      <c r="P40" s="55">
        <f t="shared" si="14"/>
        <v>0.15454545454545454</v>
      </c>
      <c r="Q40" s="75">
        <f t="shared" si="5"/>
        <v>34</v>
      </c>
      <c r="R40" s="55">
        <f t="shared" si="6"/>
        <v>0.20185093919249561</v>
      </c>
      <c r="S40" s="75">
        <f t="shared" si="7"/>
        <v>44.407206622349037</v>
      </c>
      <c r="T40" s="76">
        <f t="shared" si="8"/>
        <v>44.407206622349037</v>
      </c>
    </row>
    <row r="41" spans="6:20" x14ac:dyDescent="0.2">
      <c r="F41" s="23">
        <f t="shared" si="15"/>
        <v>1.3</v>
      </c>
      <c r="G41" s="21">
        <f t="shared" si="9"/>
        <v>-0.30000000000000004</v>
      </c>
      <c r="H41" s="22">
        <f t="shared" si="2"/>
        <v>6.9999999999999993E-2</v>
      </c>
      <c r="I41" s="22">
        <f t="shared" si="3"/>
        <v>7.9246451024635831E-2</v>
      </c>
      <c r="J41" s="22">
        <f t="shared" si="10"/>
        <v>0.12618861628126707</v>
      </c>
      <c r="K41" s="74">
        <f t="shared" si="4"/>
        <v>230</v>
      </c>
      <c r="L41" s="74">
        <f t="shared" si="11"/>
        <v>100</v>
      </c>
      <c r="M41" s="74">
        <f t="shared" si="16"/>
        <v>130</v>
      </c>
      <c r="N41" s="77">
        <f t="shared" si="12"/>
        <v>0.43478260869565216</v>
      </c>
      <c r="O41" s="77">
        <f t="shared" si="13"/>
        <v>0.56521739130434778</v>
      </c>
      <c r="P41" s="55">
        <f t="shared" si="14"/>
        <v>0.15652173913043477</v>
      </c>
      <c r="Q41" s="75">
        <f t="shared" si="5"/>
        <v>36</v>
      </c>
      <c r="R41" s="55">
        <f t="shared" si="6"/>
        <v>0.20600622157360232</v>
      </c>
      <c r="S41" s="75">
        <f t="shared" si="7"/>
        <v>47.381430961928537</v>
      </c>
      <c r="T41" s="76">
        <f t="shared" si="8"/>
        <v>47.381430961928537</v>
      </c>
    </row>
    <row r="42" spans="6:20" x14ac:dyDescent="0.2">
      <c r="F42" s="23">
        <f t="shared" si="15"/>
        <v>1.4000000000000001</v>
      </c>
      <c r="G42" s="21">
        <f t="shared" si="9"/>
        <v>-0.40000000000000013</v>
      </c>
      <c r="H42" s="22">
        <f t="shared" si="2"/>
        <v>5.9999999999999984E-2</v>
      </c>
      <c r="I42" s="22">
        <f t="shared" si="3"/>
        <v>8.4380092438915949E-2</v>
      </c>
      <c r="J42" s="22">
        <f t="shared" si="10"/>
        <v>-1.6446755871784333E-16</v>
      </c>
      <c r="K42" s="74">
        <f t="shared" si="4"/>
        <v>240</v>
      </c>
      <c r="L42" s="74">
        <f t="shared" si="11"/>
        <v>100</v>
      </c>
      <c r="M42" s="74">
        <f t="shared" si="16"/>
        <v>140</v>
      </c>
      <c r="N42" s="77">
        <f t="shared" si="12"/>
        <v>0.41666666666666669</v>
      </c>
      <c r="O42" s="77">
        <f t="shared" si="13"/>
        <v>0.58333333333333337</v>
      </c>
      <c r="P42" s="55">
        <f t="shared" si="14"/>
        <v>0.15833333333333335</v>
      </c>
      <c r="Q42" s="75">
        <f t="shared" si="5"/>
        <v>38</v>
      </c>
      <c r="R42" s="55">
        <f t="shared" si="6"/>
        <v>0.20982797186690288</v>
      </c>
      <c r="S42" s="75">
        <f t="shared" si="7"/>
        <v>50.358713248056695</v>
      </c>
      <c r="T42" s="76">
        <f t="shared" si="8"/>
        <v>50.358713248056688</v>
      </c>
    </row>
    <row r="43" spans="6:20" x14ac:dyDescent="0.2">
      <c r="F43" s="23">
        <f t="shared" si="15"/>
        <v>1.5000000000000002</v>
      </c>
      <c r="G43" s="21">
        <f t="shared" si="9"/>
        <v>-0.50000000000000022</v>
      </c>
      <c r="H43" s="22">
        <f t="shared" si="2"/>
        <v>4.9999999999999975E-2</v>
      </c>
      <c r="I43" s="22">
        <f t="shared" si="3"/>
        <v>9.4868329805051416E-2</v>
      </c>
      <c r="J43" s="22">
        <f t="shared" si="10"/>
        <v>-0.10540925533894618</v>
      </c>
      <c r="K43" s="74">
        <f t="shared" si="4"/>
        <v>250</v>
      </c>
      <c r="L43" s="74">
        <f t="shared" si="11"/>
        <v>100</v>
      </c>
      <c r="M43" s="74">
        <f t="shared" si="16"/>
        <v>150</v>
      </c>
      <c r="N43" s="77">
        <f t="shared" si="12"/>
        <v>0.4</v>
      </c>
      <c r="O43" s="77">
        <f t="shared" si="13"/>
        <v>0.6</v>
      </c>
      <c r="P43" s="55">
        <f t="shared" si="14"/>
        <v>0.16</v>
      </c>
      <c r="Q43" s="75">
        <f t="shared" si="5"/>
        <v>40</v>
      </c>
      <c r="R43" s="55">
        <f t="shared" si="6"/>
        <v>0.2133541656495134</v>
      </c>
      <c r="S43" s="75">
        <f t="shared" si="7"/>
        <v>53.338541412378348</v>
      </c>
      <c r="T43" s="76">
        <f t="shared" si="8"/>
        <v>53.338541412378348</v>
      </c>
    </row>
    <row r="44" spans="6:20" x14ac:dyDescent="0.2">
      <c r="F44" s="23">
        <f t="shared" si="15"/>
        <v>1.6000000000000003</v>
      </c>
      <c r="G44" s="21">
        <f t="shared" si="9"/>
        <v>-0.60000000000000031</v>
      </c>
      <c r="H44" s="22">
        <f t="shared" si="2"/>
        <v>3.9999999999999966E-2</v>
      </c>
      <c r="I44" s="22">
        <f t="shared" si="3"/>
        <v>0.10917875251164955</v>
      </c>
      <c r="J44" s="22">
        <f t="shared" si="10"/>
        <v>-0.18318582636182804</v>
      </c>
      <c r="K44" s="74">
        <f t="shared" si="4"/>
        <v>260</v>
      </c>
      <c r="L44" s="74">
        <f t="shared" si="11"/>
        <v>100</v>
      </c>
      <c r="M44" s="74">
        <f t="shared" si="16"/>
        <v>160</v>
      </c>
      <c r="N44" s="77">
        <f t="shared" si="12"/>
        <v>0.38461538461538464</v>
      </c>
      <c r="O44" s="77">
        <f t="shared" si="13"/>
        <v>0.61538461538461542</v>
      </c>
      <c r="P44" s="55">
        <f t="shared" si="14"/>
        <v>0.16153846153846155</v>
      </c>
      <c r="Q44" s="75">
        <f t="shared" si="5"/>
        <v>42</v>
      </c>
      <c r="R44" s="55">
        <f t="shared" si="6"/>
        <v>0.21661735138967267</v>
      </c>
      <c r="S44" s="75">
        <f t="shared" si="7"/>
        <v>56.320511361314892</v>
      </c>
      <c r="T44" s="76">
        <f t="shared" si="8"/>
        <v>56.320511361314892</v>
      </c>
    </row>
  </sheetData>
  <printOptions headings="1" gridLines="1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38"/>
  <sheetViews>
    <sheetView showGridLines="0" zoomScaleNormal="100" workbookViewId="0">
      <selection activeCell="S30" sqref="S30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11" width="9.7109375" style="1" customWidth="1"/>
    <col min="12" max="16384" width="9.140625" style="1"/>
  </cols>
  <sheetData>
    <row r="2" spans="2:12" s="63" customFormat="1" x14ac:dyDescent="0.2">
      <c r="B2" s="61" t="s">
        <v>69</v>
      </c>
      <c r="C2" s="62"/>
    </row>
    <row r="3" spans="2:12" x14ac:dyDescent="0.2">
      <c r="B3" s="2" t="s">
        <v>73</v>
      </c>
      <c r="C3" s="3"/>
      <c r="D3" s="4"/>
      <c r="E3" s="4"/>
      <c r="F3" s="109"/>
      <c r="G3" s="109"/>
      <c r="H3" s="110" t="s">
        <v>2</v>
      </c>
      <c r="I3" s="110"/>
      <c r="J3" s="111" t="s">
        <v>19</v>
      </c>
    </row>
    <row r="4" spans="2:12" x14ac:dyDescent="0.2">
      <c r="B4" s="2" t="s">
        <v>74</v>
      </c>
      <c r="C4" s="3"/>
      <c r="D4" s="4"/>
      <c r="E4" s="4"/>
      <c r="F4" s="112" t="s">
        <v>3</v>
      </c>
      <c r="G4" s="113" t="s">
        <v>3</v>
      </c>
      <c r="H4" s="114" t="s">
        <v>4</v>
      </c>
      <c r="I4" s="114" t="s">
        <v>5</v>
      </c>
      <c r="J4" s="114" t="s">
        <v>20</v>
      </c>
    </row>
    <row r="5" spans="2:12" x14ac:dyDescent="0.2">
      <c r="B5" s="2" t="s">
        <v>75</v>
      </c>
      <c r="C5" s="3"/>
      <c r="D5" s="4"/>
      <c r="E5" s="4"/>
      <c r="F5" s="115" t="s">
        <v>6</v>
      </c>
      <c r="G5" s="116" t="s">
        <v>7</v>
      </c>
      <c r="H5" s="117" t="s">
        <v>8</v>
      </c>
      <c r="I5" s="117" t="s">
        <v>9</v>
      </c>
      <c r="J5" s="117" t="s">
        <v>21</v>
      </c>
    </row>
    <row r="6" spans="2:12" x14ac:dyDescent="0.2">
      <c r="B6" s="99" t="s">
        <v>0</v>
      </c>
      <c r="C6" s="99"/>
      <c r="D6" s="100"/>
      <c r="E6" s="100"/>
      <c r="F6" s="102">
        <v>-0.5</v>
      </c>
      <c r="G6" s="21">
        <f t="shared" ref="G6:G27" si="0">1-F6</f>
        <v>1.5</v>
      </c>
      <c r="H6" s="22">
        <f t="shared" ref="H6:H27" si="1">F6*$D$11+(1-F6)*$D$16</f>
        <v>0.19</v>
      </c>
      <c r="I6" s="22">
        <f t="shared" ref="I6:I27" si="2">SQRT(F6^2*$D$13+(1-F6)^2*$D$18+2*F6*(1-F6)*$D$22)</f>
        <v>0.28896366553599784</v>
      </c>
      <c r="J6" s="22">
        <f t="shared" ref="J6:J27" si="3">(H6-rf)/I6</f>
        <v>0.44988355113388873</v>
      </c>
    </row>
    <row r="7" spans="2:12" x14ac:dyDescent="0.2">
      <c r="F7" s="23">
        <f>F6+10%</f>
        <v>-0.4</v>
      </c>
      <c r="G7" s="21">
        <f t="shared" si="0"/>
        <v>1.4</v>
      </c>
      <c r="H7" s="22">
        <f t="shared" si="1"/>
        <v>0.18399999999999997</v>
      </c>
      <c r="I7" s="22">
        <f t="shared" si="2"/>
        <v>0.27070278905101813</v>
      </c>
      <c r="J7" s="22">
        <f t="shared" si="3"/>
        <v>0.45806694653829461</v>
      </c>
    </row>
    <row r="8" spans="2:12" x14ac:dyDescent="0.2">
      <c r="C8" s="119" t="s">
        <v>1</v>
      </c>
      <c r="D8" s="101">
        <v>0.06</v>
      </c>
      <c r="F8" s="23">
        <f t="shared" ref="F8:F27" si="4">F7+10%</f>
        <v>-0.30000000000000004</v>
      </c>
      <c r="G8" s="21">
        <f t="shared" si="0"/>
        <v>1.3</v>
      </c>
      <c r="H8" s="22">
        <f t="shared" si="1"/>
        <v>0.17800000000000002</v>
      </c>
      <c r="I8" s="22">
        <f t="shared" si="2"/>
        <v>0.25262620608321695</v>
      </c>
      <c r="J8" s="22">
        <f t="shared" si="3"/>
        <v>0.46709326728015677</v>
      </c>
    </row>
    <row r="9" spans="2:12" x14ac:dyDescent="0.2">
      <c r="F9" s="23">
        <f t="shared" si="4"/>
        <v>-0.20000000000000004</v>
      </c>
      <c r="G9" s="21">
        <f t="shared" si="0"/>
        <v>1.2</v>
      </c>
      <c r="H9" s="22">
        <f t="shared" si="1"/>
        <v>0.17199999999999999</v>
      </c>
      <c r="I9" s="22">
        <f t="shared" si="2"/>
        <v>0.23477648945326704</v>
      </c>
      <c r="J9" s="22">
        <f t="shared" si="3"/>
        <v>0.47704947058718977</v>
      </c>
    </row>
    <row r="10" spans="2:12" x14ac:dyDescent="0.2">
      <c r="B10" s="14" t="s">
        <v>6</v>
      </c>
      <c r="C10" s="15"/>
      <c r="D10" s="16"/>
      <c r="F10" s="23">
        <f t="shared" si="4"/>
        <v>-0.10000000000000003</v>
      </c>
      <c r="G10" s="21">
        <f t="shared" si="0"/>
        <v>1.1000000000000001</v>
      </c>
      <c r="H10" s="22">
        <f t="shared" si="1"/>
        <v>0.16600000000000001</v>
      </c>
      <c r="I10" s="22">
        <f t="shared" si="2"/>
        <v>0.21720957621615125</v>
      </c>
      <c r="J10" s="22">
        <f t="shared" si="3"/>
        <v>0.48800794995574448</v>
      </c>
    </row>
    <row r="11" spans="2:12" x14ac:dyDescent="0.2">
      <c r="B11" s="7" t="s">
        <v>10</v>
      </c>
      <c r="C11" s="7"/>
      <c r="D11" s="101">
        <v>0.1</v>
      </c>
      <c r="F11" s="23">
        <f t="shared" si="4"/>
        <v>0</v>
      </c>
      <c r="G11" s="21">
        <f t="shared" si="0"/>
        <v>1</v>
      </c>
      <c r="H11" s="22">
        <f t="shared" si="1"/>
        <v>0.16</v>
      </c>
      <c r="I11" s="22">
        <f t="shared" si="2"/>
        <v>0.2</v>
      </c>
      <c r="J11" s="22">
        <f t="shared" si="3"/>
        <v>0.5</v>
      </c>
      <c r="L11" s="28"/>
    </row>
    <row r="12" spans="2:12" x14ac:dyDescent="0.2">
      <c r="B12" s="7" t="s">
        <v>11</v>
      </c>
      <c r="C12" s="7"/>
      <c r="D12" s="101">
        <v>0.1</v>
      </c>
      <c r="F12" s="23">
        <f t="shared" si="4"/>
        <v>0.1</v>
      </c>
      <c r="G12" s="21">
        <f t="shared" si="0"/>
        <v>0.9</v>
      </c>
      <c r="H12" s="22">
        <f t="shared" si="1"/>
        <v>0.15400000000000003</v>
      </c>
      <c r="I12" s="22">
        <f t="shared" si="2"/>
        <v>0.18324846520503249</v>
      </c>
      <c r="J12" s="22">
        <f t="shared" si="3"/>
        <v>0.51296473285506428</v>
      </c>
    </row>
    <row r="13" spans="2:12" x14ac:dyDescent="0.2">
      <c r="B13" s="10" t="s">
        <v>12</v>
      </c>
      <c r="D13" s="24">
        <f>D12^2</f>
        <v>1.0000000000000002E-2</v>
      </c>
      <c r="F13" s="23">
        <f t="shared" si="4"/>
        <v>0.2</v>
      </c>
      <c r="G13" s="21">
        <f t="shared" si="0"/>
        <v>0.8</v>
      </c>
      <c r="H13" s="22">
        <f t="shared" si="1"/>
        <v>0.14800000000000002</v>
      </c>
      <c r="I13" s="22">
        <f t="shared" si="2"/>
        <v>0.16709278859364343</v>
      </c>
      <c r="J13" s="22">
        <f t="shared" si="3"/>
        <v>0.52665348840403359</v>
      </c>
    </row>
    <row r="14" spans="2:12" x14ac:dyDescent="0.2">
      <c r="F14" s="23">
        <f t="shared" si="4"/>
        <v>0.30000000000000004</v>
      </c>
      <c r="G14" s="21">
        <f t="shared" si="0"/>
        <v>0.7</v>
      </c>
      <c r="H14" s="22">
        <f t="shared" si="1"/>
        <v>0.14199999999999999</v>
      </c>
      <c r="I14" s="22">
        <f t="shared" si="2"/>
        <v>0.15172343260024143</v>
      </c>
      <c r="J14" s="22">
        <f t="shared" si="3"/>
        <v>0.54045705791571652</v>
      </c>
    </row>
    <row r="15" spans="2:12" x14ac:dyDescent="0.2">
      <c r="B15" s="25" t="s">
        <v>7</v>
      </c>
      <c r="C15" s="26"/>
      <c r="D15" s="16"/>
      <c r="F15" s="23">
        <f t="shared" si="4"/>
        <v>0.4</v>
      </c>
      <c r="G15" s="21">
        <f t="shared" si="0"/>
        <v>0.6</v>
      </c>
      <c r="H15" s="22">
        <f t="shared" si="1"/>
        <v>0.13600000000000001</v>
      </c>
      <c r="I15" s="22">
        <f t="shared" si="2"/>
        <v>0.13740451229854136</v>
      </c>
      <c r="J15" s="22">
        <f t="shared" si="3"/>
        <v>0.55311138425260287</v>
      </c>
    </row>
    <row r="16" spans="2:12" x14ac:dyDescent="0.2">
      <c r="B16" s="7" t="s">
        <v>10</v>
      </c>
      <c r="C16" s="7"/>
      <c r="D16" s="101">
        <v>0.16</v>
      </c>
      <c r="F16" s="23">
        <f t="shared" si="4"/>
        <v>0.5</v>
      </c>
      <c r="G16" s="21">
        <f t="shared" si="0"/>
        <v>0.5</v>
      </c>
      <c r="H16" s="22">
        <f t="shared" si="1"/>
        <v>0.13</v>
      </c>
      <c r="I16" s="22">
        <f t="shared" si="2"/>
        <v>0.12449899597988734</v>
      </c>
      <c r="J16" s="22">
        <f t="shared" si="3"/>
        <v>0.56225353023174918</v>
      </c>
    </row>
    <row r="17" spans="2:10" x14ac:dyDescent="0.2">
      <c r="B17" s="7" t="s">
        <v>11</v>
      </c>
      <c r="C17" s="7"/>
      <c r="D17" s="101">
        <v>0.2</v>
      </c>
      <c r="F17" s="23">
        <f t="shared" si="4"/>
        <v>0.6</v>
      </c>
      <c r="G17" s="21">
        <f t="shared" si="0"/>
        <v>0.4</v>
      </c>
      <c r="H17" s="22">
        <f t="shared" si="1"/>
        <v>0.124</v>
      </c>
      <c r="I17" s="22">
        <f t="shared" si="2"/>
        <v>0.11349008767288887</v>
      </c>
      <c r="J17" s="22">
        <f t="shared" si="3"/>
        <v>0.56392590148019306</v>
      </c>
    </row>
    <row r="18" spans="2:10" x14ac:dyDescent="0.2">
      <c r="B18" s="10" t="s">
        <v>12</v>
      </c>
      <c r="D18" s="29">
        <f>D17^2</f>
        <v>4.0000000000000008E-2</v>
      </c>
      <c r="F18" s="23">
        <f t="shared" si="4"/>
        <v>0.7</v>
      </c>
      <c r="G18" s="21">
        <f t="shared" si="0"/>
        <v>0.30000000000000004</v>
      </c>
      <c r="H18" s="22">
        <f t="shared" si="1"/>
        <v>0.11799999999999999</v>
      </c>
      <c r="I18" s="22">
        <f t="shared" si="2"/>
        <v>0.10497618777608568</v>
      </c>
      <c r="J18" s="22">
        <f t="shared" si="3"/>
        <v>0.55250625145308241</v>
      </c>
    </row>
    <row r="19" spans="2:10" x14ac:dyDescent="0.2">
      <c r="F19" s="23">
        <f t="shared" si="4"/>
        <v>0.79999999999999993</v>
      </c>
      <c r="G19" s="21">
        <f t="shared" si="0"/>
        <v>0.20000000000000007</v>
      </c>
      <c r="H19" s="22">
        <f t="shared" si="1"/>
        <v>0.11200000000000002</v>
      </c>
      <c r="I19" s="22">
        <f t="shared" si="2"/>
        <v>9.9599196783909869E-2</v>
      </c>
      <c r="J19" s="22">
        <f t="shared" si="3"/>
        <v>0.52209256378662439</v>
      </c>
    </row>
    <row r="20" spans="2:10" x14ac:dyDescent="0.2">
      <c r="B20" s="25" t="s">
        <v>68</v>
      </c>
      <c r="C20" s="26"/>
      <c r="D20" s="16"/>
      <c r="F20" s="23">
        <f t="shared" si="4"/>
        <v>0.89999999999999991</v>
      </c>
      <c r="G20" s="21">
        <f t="shared" si="0"/>
        <v>0.10000000000000009</v>
      </c>
      <c r="H20" s="22">
        <f t="shared" si="1"/>
        <v>0.10600000000000001</v>
      </c>
      <c r="I20" s="22">
        <f t="shared" si="2"/>
        <v>9.787747442593725E-2</v>
      </c>
      <c r="J20" s="22">
        <f t="shared" si="3"/>
        <v>0.46997534693038773</v>
      </c>
    </row>
    <row r="21" spans="2:10" x14ac:dyDescent="0.2">
      <c r="B21" s="7" t="s">
        <v>67</v>
      </c>
      <c r="C21" s="7"/>
      <c r="D21" s="103">
        <v>0.3</v>
      </c>
      <c r="F21" s="23">
        <f t="shared" si="4"/>
        <v>0.99999999999999989</v>
      </c>
      <c r="G21" s="21">
        <f t="shared" si="0"/>
        <v>0</v>
      </c>
      <c r="H21" s="22">
        <f t="shared" si="1"/>
        <v>0.1</v>
      </c>
      <c r="I21" s="22">
        <f t="shared" si="2"/>
        <v>0.1</v>
      </c>
      <c r="J21" s="22">
        <f t="shared" si="3"/>
        <v>0.40000000000000008</v>
      </c>
    </row>
    <row r="22" spans="2:10" x14ac:dyDescent="0.2">
      <c r="B22" s="7" t="s">
        <v>15</v>
      </c>
      <c r="C22" s="7"/>
      <c r="D22" s="30">
        <f>D21*D17*D12</f>
        <v>6.0000000000000001E-3</v>
      </c>
      <c r="F22" s="23">
        <f t="shared" si="4"/>
        <v>1.0999999999999999</v>
      </c>
      <c r="G22" s="21">
        <f t="shared" si="0"/>
        <v>-9.9999999999999867E-2</v>
      </c>
      <c r="H22" s="22">
        <f t="shared" si="1"/>
        <v>9.4E-2</v>
      </c>
      <c r="I22" s="22">
        <f t="shared" si="2"/>
        <v>0.10573551910309043</v>
      </c>
      <c r="J22" s="22">
        <f t="shared" si="3"/>
        <v>0.32155703483945214</v>
      </c>
    </row>
    <row r="23" spans="2:10" x14ac:dyDescent="0.2">
      <c r="B23" s="1"/>
      <c r="C23" s="1"/>
      <c r="F23" s="23">
        <f t="shared" si="4"/>
        <v>1.2</v>
      </c>
      <c r="G23" s="21">
        <f t="shared" si="0"/>
        <v>-0.19999999999999996</v>
      </c>
      <c r="H23" s="22">
        <f t="shared" si="1"/>
        <v>8.7999999999999995E-2</v>
      </c>
      <c r="I23" s="22">
        <f t="shared" si="2"/>
        <v>0.11454256850621085</v>
      </c>
      <c r="J23" s="22">
        <f t="shared" si="3"/>
        <v>0.2444506035193523</v>
      </c>
    </row>
    <row r="24" spans="2:10" x14ac:dyDescent="0.2">
      <c r="B24" s="1"/>
      <c r="C24" s="1"/>
      <c r="F24" s="23">
        <f t="shared" si="4"/>
        <v>1.3</v>
      </c>
      <c r="G24" s="21">
        <f t="shared" si="0"/>
        <v>-0.30000000000000004</v>
      </c>
      <c r="H24" s="22">
        <f t="shared" si="1"/>
        <v>8.199999999999999E-2</v>
      </c>
      <c r="I24" s="22">
        <f t="shared" si="2"/>
        <v>0.12577758146824103</v>
      </c>
      <c r="J24" s="22">
        <f t="shared" si="3"/>
        <v>0.17491193377378636</v>
      </c>
    </row>
    <row r="25" spans="2:10" x14ac:dyDescent="0.2">
      <c r="B25" s="1"/>
      <c r="C25" s="1"/>
      <c r="F25" s="23">
        <f t="shared" si="4"/>
        <v>1.4000000000000001</v>
      </c>
      <c r="G25" s="21">
        <f t="shared" si="0"/>
        <v>-0.40000000000000013</v>
      </c>
      <c r="H25" s="22">
        <f t="shared" si="1"/>
        <v>7.5999999999999984E-2</v>
      </c>
      <c r="I25" s="22">
        <f t="shared" si="2"/>
        <v>0.13885243966167829</v>
      </c>
      <c r="J25" s="22">
        <f t="shared" si="3"/>
        <v>0.11523024038313535</v>
      </c>
    </row>
    <row r="26" spans="2:10" x14ac:dyDescent="0.2">
      <c r="B26" s="31"/>
      <c r="C26" s="31"/>
      <c r="D26" s="31"/>
      <c r="F26" s="23">
        <f t="shared" si="4"/>
        <v>1.5000000000000002</v>
      </c>
      <c r="G26" s="21">
        <f t="shared" si="0"/>
        <v>-0.50000000000000022</v>
      </c>
      <c r="H26" s="22">
        <f t="shared" si="1"/>
        <v>6.9999999999999979E-2</v>
      </c>
      <c r="I26" s="22">
        <f t="shared" si="2"/>
        <v>0.15329709716755896</v>
      </c>
      <c r="J26" s="22">
        <f t="shared" si="3"/>
        <v>6.5232807305344073E-2</v>
      </c>
    </row>
    <row r="27" spans="2:10" x14ac:dyDescent="0.2">
      <c r="B27" s="31"/>
      <c r="C27" s="31"/>
      <c r="D27" s="31"/>
      <c r="F27" s="23">
        <f t="shared" si="4"/>
        <v>1.6000000000000003</v>
      </c>
      <c r="G27" s="21">
        <f t="shared" si="0"/>
        <v>-0.60000000000000031</v>
      </c>
      <c r="H27" s="22">
        <f t="shared" si="1"/>
        <v>6.3999999999999974E-2</v>
      </c>
      <c r="I27" s="22">
        <f t="shared" si="2"/>
        <v>0.16876018487783198</v>
      </c>
      <c r="J27" s="22">
        <f t="shared" si="3"/>
        <v>2.3702273156998705E-2</v>
      </c>
    </row>
    <row r="28" spans="2:10" x14ac:dyDescent="0.2">
      <c r="B28" s="32"/>
      <c r="C28" s="32"/>
      <c r="D28" s="31"/>
    </row>
    <row r="29" spans="2:10" x14ac:dyDescent="0.2">
      <c r="B29" s="33"/>
      <c r="C29" s="33"/>
      <c r="D29" s="34"/>
      <c r="F29" s="36" t="s">
        <v>70</v>
      </c>
      <c r="G29" s="4"/>
      <c r="H29" s="4"/>
      <c r="I29" s="4"/>
      <c r="J29" s="4"/>
    </row>
    <row r="30" spans="2:10" x14ac:dyDescent="0.2">
      <c r="B30" s="33"/>
      <c r="C30" s="33"/>
      <c r="D30" s="34"/>
      <c r="F30" s="66">
        <f>F31-1%</f>
        <v>0.88473684210526327</v>
      </c>
      <c r="G30" s="67">
        <f>1-F30</f>
        <v>0.11526315789473673</v>
      </c>
      <c r="H30" s="67">
        <f>F30*$D$11+(1-F30)*$D$16</f>
        <v>0.10691578947368421</v>
      </c>
      <c r="I30" s="68">
        <f>SQRT(F30^2*$D$13+(1-F30)^2*$D$18+2*F30*(1-F30)*$D$22)</f>
        <v>9.7891508152755796E-2</v>
      </c>
      <c r="J30" s="67">
        <f>(H30-rf)/I30</f>
        <v>0.47926311851763481</v>
      </c>
    </row>
    <row r="31" spans="2:10" x14ac:dyDescent="0.2">
      <c r="B31" s="33"/>
      <c r="C31" s="33"/>
      <c r="D31" s="34"/>
      <c r="E31" s="104" t="s">
        <v>76</v>
      </c>
      <c r="F31" s="70">
        <f>(D18-(D21*D12*D17))/(D13+D18-(2*D21*D12*D17))</f>
        <v>0.89473684210526327</v>
      </c>
      <c r="G31" s="22">
        <f>1-F31</f>
        <v>0.10526315789473673</v>
      </c>
      <c r="H31" s="22">
        <f>F31*$D$11+(1-F31)*$D$16</f>
        <v>0.10631578947368421</v>
      </c>
      <c r="I31" s="69">
        <f>SQRT(F31^2*$D$13+(1-F31)^2*$D$18+2*F31*(1-F31)*$D$22)</f>
        <v>9.7872096985918589E-2</v>
      </c>
      <c r="J31" s="22">
        <f>(H31-rf)/I31</f>
        <v>0.47322772169015576</v>
      </c>
    </row>
    <row r="32" spans="2:10" x14ac:dyDescent="0.2">
      <c r="B32" s="33"/>
      <c r="C32" s="33"/>
      <c r="D32" s="34"/>
      <c r="E32" s="104" t="s">
        <v>77</v>
      </c>
      <c r="F32" s="66">
        <f>F31+1%</f>
        <v>0.90473684210526328</v>
      </c>
      <c r="G32" s="67">
        <f>1-F32</f>
        <v>9.5263157894736716E-2</v>
      </c>
      <c r="H32" s="67">
        <f>F32*$D$11+(1-F32)*$D$16</f>
        <v>0.10571578947368421</v>
      </c>
      <c r="I32" s="68">
        <f>SQRT(F32^2*$D$13+(1-F32)^2*$D$18+2*F32*(1-F32)*$D$22)</f>
        <v>9.7891508152755796E-2</v>
      </c>
      <c r="J32" s="67">
        <f>(H32-rf)/I32</f>
        <v>0.4670046497020614</v>
      </c>
    </row>
    <row r="33" spans="2:10" x14ac:dyDescent="0.2">
      <c r="B33" s="32"/>
      <c r="D33" s="35"/>
      <c r="E33" s="104" t="s">
        <v>78</v>
      </c>
      <c r="F33" s="36" t="s">
        <v>71</v>
      </c>
      <c r="G33" s="4"/>
      <c r="H33" s="4"/>
      <c r="I33" s="4"/>
      <c r="J33" s="4"/>
    </row>
    <row r="34" spans="2:10" x14ac:dyDescent="0.2">
      <c r="F34" s="66">
        <f>F35-1%</f>
        <v>0.55818181818181833</v>
      </c>
      <c r="G34" s="67">
        <f>1-F34</f>
        <v>0.44181818181818167</v>
      </c>
      <c r="H34" s="67">
        <f>F34*$D$11+(1-F34)*$D$16</f>
        <v>0.1265090909090909</v>
      </c>
      <c r="I34" s="67">
        <f>SQRT(F34^2*$D$13+(1-F34)^2*$D$18+2*F34*(1-F34)*$D$22)</f>
        <v>0.11782690764544936</v>
      </c>
      <c r="J34" s="68">
        <f>(H34-rf)/I34</f>
        <v>0.56446436758929563</v>
      </c>
    </row>
    <row r="35" spans="2:10" x14ac:dyDescent="0.2">
      <c r="F35" s="71">
        <f>sigma_b*(r_b*rho_ab*sigma_a-rf*rho_ab*sigma_a-r_a*sigma_b+rf*sigma_b)/(-r_b*sigma_a^2+rf*sigma_a^2+r_a*rho_ab*sigma_a*sigma_b+r_b*rho_ab*sigma_a*sigma_b-2*rf*rho_ab*sigma_a*sigma_b-r_a*sigma_b^2+rf*sigma_b^2)</f>
        <v>0.56818181818181834</v>
      </c>
      <c r="G35" s="22">
        <f>1-F35</f>
        <v>0.43181818181818166</v>
      </c>
      <c r="H35" s="22">
        <f>F35*$D$11+(1-F35)*$D$16</f>
        <v>0.12590909090909091</v>
      </c>
      <c r="I35" s="22">
        <f>SQRT(F35^2*$D$13+(1-F35)^2*$D$18+2*F35*(1-F35)*$D$22)</f>
        <v>0.11675272308219384</v>
      </c>
      <c r="J35" s="69">
        <f>(H35-rf)/I35</f>
        <v>0.56451866105676152</v>
      </c>
    </row>
    <row r="36" spans="2:10" x14ac:dyDescent="0.2">
      <c r="F36" s="66">
        <f>F35+1%</f>
        <v>0.57818181818181835</v>
      </c>
      <c r="G36" s="67">
        <f>1-F36</f>
        <v>0.42181818181818165</v>
      </c>
      <c r="H36" s="67">
        <f>F36*$D$11+(1-F36)*$D$16</f>
        <v>0.1253090909090909</v>
      </c>
      <c r="I36" s="67">
        <f>SQRT(F36^2*$D$13+(1-F36)^2*$D$18+2*F36*(1-F36)*$D$22)</f>
        <v>0.11570141109306151</v>
      </c>
      <c r="J36" s="68">
        <f>(H36-rf)/I36</f>
        <v>0.564462354366285</v>
      </c>
    </row>
    <row r="37" spans="2:10" x14ac:dyDescent="0.2">
      <c r="F37" s="1" t="s">
        <v>41</v>
      </c>
    </row>
    <row r="38" spans="2:10" x14ac:dyDescent="0.2">
      <c r="F38" s="65" t="s">
        <v>40</v>
      </c>
      <c r="G38" s="65"/>
      <c r="H38" s="65"/>
    </row>
  </sheetData>
  <hyperlinks>
    <hyperlink ref="F38" r:id="rId1" location="post-45560" xr:uid="{00000000-0004-0000-0100-000000000000}"/>
  </hyperlinks>
  <printOptions headings="1" gridLines="1"/>
  <pageMargins left="0.75" right="0.75" top="1" bottom="1" header="0.5" footer="0.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7"/>
  <sheetViews>
    <sheetView showGridLines="0" zoomScaleNormal="100" workbookViewId="0">
      <selection activeCell="E24" sqref="E24"/>
    </sheetView>
  </sheetViews>
  <sheetFormatPr defaultColWidth="9.140625" defaultRowHeight="12.75" x14ac:dyDescent="0.2"/>
  <cols>
    <col min="1" max="1" width="1.7109375" style="1" customWidth="1"/>
    <col min="2" max="2" width="3.7109375" style="10" customWidth="1"/>
    <col min="3" max="3" width="17.28515625" style="10" customWidth="1"/>
    <col min="4" max="4" width="9" style="1" customWidth="1"/>
    <col min="5" max="5" width="4.42578125" style="1" customWidth="1"/>
    <col min="6" max="6" width="7.7109375" style="1" bestFit="1" customWidth="1"/>
    <col min="7" max="7" width="9.140625" style="1" customWidth="1"/>
    <col min="8" max="8" width="10.140625" style="1" customWidth="1"/>
    <col min="9" max="10" width="9.140625" style="1"/>
    <col min="11" max="11" width="2.7109375" style="1" customWidth="1"/>
    <col min="12" max="16384" width="9.140625" style="1"/>
  </cols>
  <sheetData>
    <row r="2" spans="1:14" s="63" customFormat="1" x14ac:dyDescent="0.2">
      <c r="A2" s="61"/>
      <c r="B2" s="61" t="s">
        <v>42</v>
      </c>
      <c r="C2" s="62"/>
    </row>
    <row r="3" spans="1:14" x14ac:dyDescent="0.2">
      <c r="B3" s="2" t="s">
        <v>24</v>
      </c>
      <c r="C3" s="3"/>
      <c r="D3" s="4"/>
      <c r="E3" s="4"/>
      <c r="F3" s="4"/>
    </row>
    <row r="4" spans="1:14" x14ac:dyDescent="0.2">
      <c r="B4" s="106" t="s">
        <v>79</v>
      </c>
      <c r="C4" s="107"/>
      <c r="D4" s="108"/>
      <c r="E4" s="108"/>
      <c r="F4" s="108"/>
    </row>
    <row r="6" spans="1:14" x14ac:dyDescent="0.2">
      <c r="C6" s="122" t="s">
        <v>1</v>
      </c>
      <c r="D6" s="123">
        <f>'T1-PPC-MVP'!D8</f>
        <v>0.06</v>
      </c>
    </row>
    <row r="7" spans="1:14" x14ac:dyDescent="0.2">
      <c r="F7" s="45" t="s">
        <v>3</v>
      </c>
      <c r="G7" s="45" t="s">
        <v>3</v>
      </c>
      <c r="H7" s="46" t="s">
        <v>4</v>
      </c>
      <c r="I7" s="28"/>
    </row>
    <row r="8" spans="1:14" x14ac:dyDescent="0.2">
      <c r="B8" s="47"/>
      <c r="F8" s="45" t="s">
        <v>25</v>
      </c>
      <c r="G8" s="45" t="s">
        <v>26</v>
      </c>
      <c r="H8" s="46" t="s">
        <v>8</v>
      </c>
      <c r="I8" s="28"/>
    </row>
    <row r="9" spans="1:14" x14ac:dyDescent="0.2">
      <c r="B9" s="25" t="s">
        <v>27</v>
      </c>
      <c r="C9" s="25"/>
      <c r="D9" s="48" t="s">
        <v>28</v>
      </c>
      <c r="F9" s="49" t="s">
        <v>29</v>
      </c>
      <c r="G9" s="49" t="s">
        <v>2</v>
      </c>
      <c r="H9" s="50" t="s">
        <v>30</v>
      </c>
      <c r="I9" s="19" t="s">
        <v>31</v>
      </c>
    </row>
    <row r="10" spans="1:14" x14ac:dyDescent="0.2">
      <c r="B10" s="10" t="s">
        <v>6</v>
      </c>
      <c r="D10" s="51">
        <f>'T1-PPC-MVP'!F35</f>
        <v>0.56818181818181834</v>
      </c>
      <c r="F10" s="52">
        <v>1</v>
      </c>
      <c r="G10" s="52">
        <f>1-F10</f>
        <v>0</v>
      </c>
      <c r="H10" s="53">
        <f>F10*$D$6+G10*$D$12</f>
        <v>0.06</v>
      </c>
      <c r="I10" s="54">
        <f>G10*$D$13</f>
        <v>0</v>
      </c>
    </row>
    <row r="11" spans="1:14" x14ac:dyDescent="0.2">
      <c r="B11" s="10" t="s">
        <v>7</v>
      </c>
      <c r="D11" s="55">
        <f>1-D10</f>
        <v>0.43181818181818166</v>
      </c>
      <c r="F11" s="52">
        <f>F10-10%</f>
        <v>0.9</v>
      </c>
      <c r="G11" s="52">
        <f t="shared" ref="G11:G27" si="0">1-F11</f>
        <v>9.9999999999999978E-2</v>
      </c>
      <c r="H11" s="53">
        <f t="shared" ref="H11:H27" si="1">F11*$D$6+G11*$D$12</f>
        <v>6.6590909090909089E-2</v>
      </c>
      <c r="I11" s="54">
        <f t="shared" ref="I11:I27" si="2">G11*$D$13</f>
        <v>1.1675272308219381E-2</v>
      </c>
    </row>
    <row r="12" spans="1:14" x14ac:dyDescent="0.2">
      <c r="B12" s="10" t="s">
        <v>80</v>
      </c>
      <c r="D12" s="56">
        <f>'T1-PPC-MVP'!H35</f>
        <v>0.12590909090909091</v>
      </c>
      <c r="F12" s="52">
        <f>F11-10%</f>
        <v>0.8</v>
      </c>
      <c r="G12" s="52">
        <f t="shared" si="0"/>
        <v>0.19999999999999996</v>
      </c>
      <c r="H12" s="53">
        <f t="shared" si="1"/>
        <v>7.3181818181818181E-2</v>
      </c>
      <c r="I12" s="54">
        <f t="shared" si="2"/>
        <v>2.3350544616438762E-2</v>
      </c>
    </row>
    <row r="13" spans="1:14" x14ac:dyDescent="0.2">
      <c r="B13" s="10" t="s">
        <v>81</v>
      </c>
      <c r="D13" s="56">
        <f>'T1-PPC-MVP'!I35</f>
        <v>0.11675272308219384</v>
      </c>
      <c r="F13" s="52">
        <f t="shared" ref="F13:F27" si="3">F12-10%</f>
        <v>0.70000000000000007</v>
      </c>
      <c r="G13" s="52">
        <f t="shared" si="0"/>
        <v>0.29999999999999993</v>
      </c>
      <c r="H13" s="53">
        <f t="shared" si="1"/>
        <v>7.9772727272727273E-2</v>
      </c>
      <c r="I13" s="54">
        <f t="shared" si="2"/>
        <v>3.5025816924658143E-2</v>
      </c>
    </row>
    <row r="14" spans="1:14" x14ac:dyDescent="0.2">
      <c r="B14" s="1"/>
      <c r="C14" s="1"/>
      <c r="F14" s="52">
        <f t="shared" si="3"/>
        <v>0.60000000000000009</v>
      </c>
      <c r="G14" s="52">
        <f t="shared" si="0"/>
        <v>0.39999999999999991</v>
      </c>
      <c r="H14" s="53">
        <f t="shared" si="1"/>
        <v>8.6363636363636365E-2</v>
      </c>
      <c r="I14" s="54">
        <f t="shared" si="2"/>
        <v>4.6701089232877524E-2</v>
      </c>
      <c r="N14" s="28"/>
    </row>
    <row r="15" spans="1:14" x14ac:dyDescent="0.2">
      <c r="B15" s="1"/>
      <c r="C15" s="1"/>
      <c r="F15" s="52">
        <f t="shared" si="3"/>
        <v>0.50000000000000011</v>
      </c>
      <c r="G15" s="52">
        <f t="shared" si="0"/>
        <v>0.49999999999999989</v>
      </c>
      <c r="H15" s="53">
        <f t="shared" si="1"/>
        <v>9.2954545454545456E-2</v>
      </c>
      <c r="I15" s="54">
        <f t="shared" si="2"/>
        <v>5.8376361541096905E-2</v>
      </c>
    </row>
    <row r="16" spans="1:14" x14ac:dyDescent="0.2">
      <c r="B16" s="1"/>
      <c r="C16" s="1"/>
      <c r="F16" s="52">
        <f t="shared" si="3"/>
        <v>0.40000000000000013</v>
      </c>
      <c r="G16" s="52">
        <f t="shared" si="0"/>
        <v>0.59999999999999987</v>
      </c>
      <c r="H16" s="53">
        <f t="shared" si="1"/>
        <v>9.9545454545454534E-2</v>
      </c>
      <c r="I16" s="54">
        <f t="shared" si="2"/>
        <v>7.0051633849316286E-2</v>
      </c>
    </row>
    <row r="17" spans="2:9" x14ac:dyDescent="0.2">
      <c r="B17" s="1"/>
      <c r="C17" s="1"/>
      <c r="F17" s="52">
        <f t="shared" si="3"/>
        <v>0.30000000000000016</v>
      </c>
      <c r="G17" s="52">
        <f t="shared" si="0"/>
        <v>0.69999999999999984</v>
      </c>
      <c r="H17" s="53">
        <f t="shared" si="1"/>
        <v>0.10613636363636364</v>
      </c>
      <c r="I17" s="54">
        <f t="shared" si="2"/>
        <v>8.1726906157535667E-2</v>
      </c>
    </row>
    <row r="18" spans="2:9" x14ac:dyDescent="0.2">
      <c r="B18" s="1"/>
      <c r="C18" s="1"/>
      <c r="F18" s="52">
        <f t="shared" si="3"/>
        <v>0.20000000000000015</v>
      </c>
      <c r="G18" s="52">
        <f t="shared" si="0"/>
        <v>0.79999999999999982</v>
      </c>
      <c r="H18" s="53">
        <f t="shared" si="1"/>
        <v>0.11272727272727272</v>
      </c>
      <c r="I18" s="54">
        <f t="shared" si="2"/>
        <v>9.3402178465755048E-2</v>
      </c>
    </row>
    <row r="19" spans="2:9" x14ac:dyDescent="0.2">
      <c r="B19" s="1"/>
      <c r="C19" s="1"/>
      <c r="F19" s="52">
        <f t="shared" si="3"/>
        <v>0.10000000000000014</v>
      </c>
      <c r="G19" s="52">
        <f t="shared" si="0"/>
        <v>0.89999999999999991</v>
      </c>
      <c r="H19" s="53">
        <f t="shared" si="1"/>
        <v>0.11931818181818182</v>
      </c>
      <c r="I19" s="54">
        <f t="shared" si="2"/>
        <v>0.10507745077397444</v>
      </c>
    </row>
    <row r="20" spans="2:9" x14ac:dyDescent="0.2">
      <c r="B20" s="1"/>
      <c r="C20" s="1"/>
      <c r="F20" s="52">
        <f t="shared" si="3"/>
        <v>1.3877787807814457E-16</v>
      </c>
      <c r="G20" s="52">
        <f t="shared" si="0"/>
        <v>0.99999999999999989</v>
      </c>
      <c r="H20" s="53">
        <f t="shared" si="1"/>
        <v>0.12590909090909089</v>
      </c>
      <c r="I20" s="54">
        <f t="shared" si="2"/>
        <v>0.11675272308219382</v>
      </c>
    </row>
    <row r="21" spans="2:9" x14ac:dyDescent="0.2">
      <c r="B21" s="1"/>
      <c r="C21" s="1"/>
      <c r="F21" s="52">
        <f t="shared" si="3"/>
        <v>-9.9999999999999867E-2</v>
      </c>
      <c r="G21" s="52">
        <f t="shared" si="0"/>
        <v>1.0999999999999999</v>
      </c>
      <c r="H21" s="53">
        <f t="shared" si="1"/>
        <v>0.13250000000000001</v>
      </c>
      <c r="I21" s="54">
        <f t="shared" si="2"/>
        <v>0.12842799539041322</v>
      </c>
    </row>
    <row r="22" spans="2:9" x14ac:dyDescent="0.2">
      <c r="B22" s="1"/>
      <c r="C22" s="1"/>
      <c r="F22" s="52">
        <f t="shared" si="3"/>
        <v>-0.19999999999999987</v>
      </c>
      <c r="G22" s="52">
        <f t="shared" si="0"/>
        <v>1.2</v>
      </c>
      <c r="H22" s="53">
        <f t="shared" si="1"/>
        <v>0.1390909090909091</v>
      </c>
      <c r="I22" s="54">
        <f t="shared" si="2"/>
        <v>0.1401032676986326</v>
      </c>
    </row>
    <row r="23" spans="2:9" x14ac:dyDescent="0.2">
      <c r="B23" s="1"/>
      <c r="C23" s="1"/>
      <c r="F23" s="52">
        <f t="shared" si="3"/>
        <v>-0.29999999999999988</v>
      </c>
      <c r="G23" s="52">
        <f t="shared" si="0"/>
        <v>1.2999999999999998</v>
      </c>
      <c r="H23" s="53">
        <f t="shared" si="1"/>
        <v>0.14568181818181819</v>
      </c>
      <c r="I23" s="54">
        <f t="shared" si="2"/>
        <v>0.15177854000685198</v>
      </c>
    </row>
    <row r="24" spans="2:9" x14ac:dyDescent="0.2">
      <c r="B24" s="1"/>
      <c r="C24" s="1"/>
      <c r="F24" s="52">
        <f t="shared" si="3"/>
        <v>-0.39999999999999991</v>
      </c>
      <c r="G24" s="52">
        <f t="shared" si="0"/>
        <v>1.4</v>
      </c>
      <c r="H24" s="53">
        <f t="shared" si="1"/>
        <v>0.15227272727272728</v>
      </c>
      <c r="I24" s="54">
        <f t="shared" si="2"/>
        <v>0.16345381231507136</v>
      </c>
    </row>
    <row r="25" spans="2:9" x14ac:dyDescent="0.2">
      <c r="B25" s="1"/>
      <c r="C25" s="1"/>
      <c r="F25" s="52">
        <f t="shared" si="3"/>
        <v>-0.49999999999999989</v>
      </c>
      <c r="G25" s="52">
        <f t="shared" si="0"/>
        <v>1.5</v>
      </c>
      <c r="H25" s="53">
        <f t="shared" si="1"/>
        <v>0.15886363636363637</v>
      </c>
      <c r="I25" s="54">
        <f t="shared" si="2"/>
        <v>0.17512908462329074</v>
      </c>
    </row>
    <row r="26" spans="2:9" x14ac:dyDescent="0.2">
      <c r="B26" s="1"/>
      <c r="C26" s="1"/>
      <c r="F26" s="52">
        <f t="shared" si="3"/>
        <v>-0.59999999999999987</v>
      </c>
      <c r="G26" s="52">
        <f t="shared" si="0"/>
        <v>1.5999999999999999</v>
      </c>
      <c r="H26" s="53">
        <f t="shared" si="1"/>
        <v>0.16545454545454547</v>
      </c>
      <c r="I26" s="54">
        <f t="shared" si="2"/>
        <v>0.18680435693151012</v>
      </c>
    </row>
    <row r="27" spans="2:9" x14ac:dyDescent="0.2">
      <c r="B27" s="1"/>
      <c r="C27" s="1"/>
      <c r="F27" s="52">
        <f t="shared" si="3"/>
        <v>-0.69999999999999984</v>
      </c>
      <c r="G27" s="52">
        <f t="shared" si="0"/>
        <v>1.6999999999999997</v>
      </c>
      <c r="H27" s="53">
        <f t="shared" si="1"/>
        <v>0.17204545454545453</v>
      </c>
      <c r="I27" s="54">
        <f t="shared" si="2"/>
        <v>0.1984796292397295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51"/>
  <sheetViews>
    <sheetView showGridLines="0" zoomScaleNormal="100" workbookViewId="0"/>
  </sheetViews>
  <sheetFormatPr defaultColWidth="9.140625" defaultRowHeight="12.75" x14ac:dyDescent="0.2"/>
  <cols>
    <col min="1" max="1" width="1.28515625" style="1" customWidth="1"/>
    <col min="2" max="2" width="26.140625" style="10" customWidth="1"/>
    <col min="3" max="5" width="8.7109375" style="1" customWidth="1"/>
    <col min="6" max="11" width="7.7109375" style="1" customWidth="1"/>
    <col min="12" max="16384" width="9.140625" style="1"/>
  </cols>
  <sheetData>
    <row r="2" spans="2:7" s="63" customFormat="1" x14ac:dyDescent="0.2">
      <c r="B2" s="61" t="s">
        <v>44</v>
      </c>
      <c r="C2" s="62"/>
      <c r="D2" s="62"/>
      <c r="E2" s="62"/>
    </row>
    <row r="3" spans="2:7" x14ac:dyDescent="0.2">
      <c r="B3" s="2" t="s">
        <v>32</v>
      </c>
      <c r="C3" s="4"/>
      <c r="D3" s="4"/>
      <c r="E3" s="4"/>
      <c r="F3" s="4"/>
      <c r="G3" s="4"/>
    </row>
    <row r="5" spans="2:7" x14ac:dyDescent="0.2">
      <c r="B5" s="122" t="s">
        <v>1</v>
      </c>
      <c r="C5" s="123">
        <f>'T1-PPC-MVP'!D8</f>
        <v>0.06</v>
      </c>
    </row>
    <row r="6" spans="2:7" ht="2.25" customHeight="1" x14ac:dyDescent="0.2"/>
    <row r="7" spans="2:7" x14ac:dyDescent="0.2">
      <c r="B7" s="14" t="s">
        <v>6</v>
      </c>
      <c r="C7" s="16"/>
      <c r="D7" s="31"/>
      <c r="E7" s="31"/>
    </row>
    <row r="8" spans="2:7" x14ac:dyDescent="0.2">
      <c r="B8" s="7" t="s">
        <v>10</v>
      </c>
      <c r="C8" s="127">
        <v>0.1</v>
      </c>
      <c r="D8" s="56"/>
      <c r="E8" s="56"/>
    </row>
    <row r="9" spans="2:7" x14ac:dyDescent="0.2">
      <c r="B9" s="7" t="s">
        <v>11</v>
      </c>
      <c r="C9" s="127">
        <v>0.1</v>
      </c>
      <c r="D9" s="56"/>
      <c r="E9" s="56"/>
    </row>
    <row r="10" spans="2:7" x14ac:dyDescent="0.2">
      <c r="B10" s="10" t="s">
        <v>12</v>
      </c>
      <c r="C10" s="57">
        <f>C9^2</f>
        <v>1.0000000000000002E-2</v>
      </c>
      <c r="D10" s="57"/>
      <c r="E10" s="57"/>
    </row>
    <row r="11" spans="2:7" ht="6" customHeight="1" x14ac:dyDescent="0.2"/>
    <row r="12" spans="2:7" x14ac:dyDescent="0.2">
      <c r="B12" s="25" t="s">
        <v>7</v>
      </c>
      <c r="C12" s="16"/>
      <c r="D12" s="31"/>
      <c r="E12" s="31"/>
    </row>
    <row r="13" spans="2:7" x14ac:dyDescent="0.2">
      <c r="B13" s="7" t="s">
        <v>10</v>
      </c>
      <c r="C13" s="127">
        <v>0.16</v>
      </c>
      <c r="D13" s="56"/>
      <c r="E13" s="56"/>
    </row>
    <row r="14" spans="2:7" x14ac:dyDescent="0.2">
      <c r="B14" s="7" t="s">
        <v>11</v>
      </c>
      <c r="C14" s="127">
        <v>0.2</v>
      </c>
      <c r="D14" s="56"/>
      <c r="E14" s="56"/>
    </row>
    <row r="15" spans="2:7" x14ac:dyDescent="0.2">
      <c r="B15" s="10" t="s">
        <v>12</v>
      </c>
      <c r="C15" s="57">
        <f>C14^2</f>
        <v>4.0000000000000008E-2</v>
      </c>
      <c r="D15" s="57"/>
      <c r="E15" s="57"/>
    </row>
    <row r="16" spans="2:7" ht="6.75" customHeight="1" x14ac:dyDescent="0.2"/>
    <row r="17" spans="2:13" x14ac:dyDescent="0.2">
      <c r="B17" s="7" t="s">
        <v>33</v>
      </c>
      <c r="C17" s="127">
        <v>0.3</v>
      </c>
      <c r="D17" s="56"/>
      <c r="E17" s="56"/>
    </row>
    <row r="18" spans="2:13" x14ac:dyDescent="0.2">
      <c r="B18" s="7" t="s">
        <v>34</v>
      </c>
      <c r="C18" s="30">
        <f>C17*C9*C14</f>
        <v>6.0000000000000001E-3</v>
      </c>
      <c r="D18" s="30"/>
      <c r="E18" s="30"/>
    </row>
    <row r="19" spans="2:13" x14ac:dyDescent="0.2">
      <c r="B19" s="7"/>
      <c r="C19" s="30"/>
      <c r="D19" s="30"/>
      <c r="E19" s="30"/>
    </row>
    <row r="20" spans="2:13" x14ac:dyDescent="0.2">
      <c r="B20" s="120" t="s">
        <v>27</v>
      </c>
      <c r="C20" s="121" t="s">
        <v>28</v>
      </c>
    </row>
    <row r="21" spans="2:13" x14ac:dyDescent="0.2">
      <c r="B21" s="10" t="s">
        <v>6</v>
      </c>
      <c r="C21" s="128">
        <v>0.56818181818181834</v>
      </c>
      <c r="D21" s="58"/>
      <c r="E21" s="58"/>
    </row>
    <row r="22" spans="2:13" x14ac:dyDescent="0.2">
      <c r="B22" s="10" t="s">
        <v>7</v>
      </c>
      <c r="C22" s="127">
        <v>0.43181818181818166</v>
      </c>
      <c r="D22" s="56"/>
      <c r="E22" s="56"/>
    </row>
    <row r="23" spans="2:13" x14ac:dyDescent="0.2">
      <c r="B23" s="10" t="s">
        <v>80</v>
      </c>
      <c r="C23" s="127">
        <v>0.125909090909091</v>
      </c>
      <c r="D23" s="56"/>
      <c r="E23" s="56"/>
    </row>
    <row r="24" spans="2:13" x14ac:dyDescent="0.2">
      <c r="B24" s="10" t="s">
        <v>81</v>
      </c>
      <c r="C24" s="127">
        <v>0.11675272308219384</v>
      </c>
      <c r="D24" s="56"/>
      <c r="E24" s="56"/>
    </row>
    <row r="25" spans="2:13" x14ac:dyDescent="0.2">
      <c r="B25" s="7" t="s">
        <v>82</v>
      </c>
      <c r="C25" s="37">
        <f>C23-C5</f>
        <v>6.5909090909091E-2</v>
      </c>
      <c r="D25" s="37"/>
      <c r="E25" s="37"/>
    </row>
    <row r="27" spans="2:13" x14ac:dyDescent="0.2">
      <c r="B27" s="25" t="s">
        <v>35</v>
      </c>
      <c r="C27" s="16"/>
      <c r="D27" s="16"/>
      <c r="E27" s="16"/>
      <c r="F27" s="16"/>
      <c r="G27" s="16"/>
      <c r="H27" s="16"/>
      <c r="I27" s="16"/>
      <c r="J27" s="16"/>
      <c r="K27" s="16"/>
      <c r="M27" s="17" t="s">
        <v>26</v>
      </c>
    </row>
    <row r="28" spans="2:13" x14ac:dyDescent="0.2">
      <c r="B28" s="10" t="s">
        <v>6</v>
      </c>
      <c r="C28" s="118">
        <v>-2</v>
      </c>
      <c r="D28" s="118">
        <f>C28+0.5</f>
        <v>-1.5</v>
      </c>
      <c r="E28" s="118">
        <f t="shared" ref="E28:K28" si="0">D28+0.5</f>
        <v>-1</v>
      </c>
      <c r="F28" s="118">
        <f t="shared" si="0"/>
        <v>-0.5</v>
      </c>
      <c r="G28" s="118">
        <f t="shared" si="0"/>
        <v>0</v>
      </c>
      <c r="H28" s="118">
        <f t="shared" si="0"/>
        <v>0.5</v>
      </c>
      <c r="I28" s="118">
        <f t="shared" si="0"/>
        <v>1</v>
      </c>
      <c r="J28" s="118">
        <f t="shared" si="0"/>
        <v>1.5</v>
      </c>
      <c r="K28" s="118">
        <f t="shared" si="0"/>
        <v>2</v>
      </c>
      <c r="M28" s="124">
        <f>C21</f>
        <v>0.56818181818181834</v>
      </c>
    </row>
    <row r="29" spans="2:13" x14ac:dyDescent="0.2">
      <c r="B29" s="10" t="s">
        <v>7</v>
      </c>
      <c r="C29" s="52">
        <f t="shared" ref="C29:K29" si="1">1-C28</f>
        <v>3</v>
      </c>
      <c r="D29" s="52">
        <f t="shared" si="1"/>
        <v>2.5</v>
      </c>
      <c r="E29" s="52">
        <f t="shared" si="1"/>
        <v>2</v>
      </c>
      <c r="F29" s="52">
        <f t="shared" si="1"/>
        <v>1.5</v>
      </c>
      <c r="G29" s="52">
        <f t="shared" si="1"/>
        <v>1</v>
      </c>
      <c r="H29" s="52">
        <f t="shared" si="1"/>
        <v>0.5</v>
      </c>
      <c r="I29" s="52">
        <f t="shared" si="1"/>
        <v>0</v>
      </c>
      <c r="J29" s="52">
        <f t="shared" si="1"/>
        <v>-0.5</v>
      </c>
      <c r="K29" s="52">
        <f t="shared" si="1"/>
        <v>-1</v>
      </c>
      <c r="M29" s="52">
        <f t="shared" ref="M29" si="2">1-M28</f>
        <v>0.43181818181818166</v>
      </c>
    </row>
    <row r="30" spans="2:13" x14ac:dyDescent="0.2">
      <c r="C30" s="52"/>
      <c r="D30" s="52"/>
      <c r="E30" s="52"/>
      <c r="F30" s="52"/>
      <c r="G30" s="52"/>
      <c r="H30" s="52"/>
      <c r="I30" s="52"/>
      <c r="J30" s="52"/>
      <c r="K30" s="52"/>
      <c r="M30" s="52"/>
    </row>
    <row r="31" spans="2:13" x14ac:dyDescent="0.2">
      <c r="B31" s="10" t="s">
        <v>36</v>
      </c>
      <c r="C31" s="59">
        <f>C28*$C$21*$C$10+C29*$C$22*$C$15+(C28*$C$22+C29*$C$21)*$C$18</f>
        <v>4.5499999999999992E-2</v>
      </c>
      <c r="D31" s="59">
        <f t="shared" ref="D31:K31" si="3">D28*$C$21*$C$10+D29*$C$22*$C$15+(D28*$C$22+D29*$C$21)*$C$18</f>
        <v>3.9295454545454536E-2</v>
      </c>
      <c r="E31" s="59">
        <f t="shared" si="3"/>
        <v>3.3090909090909087E-2</v>
      </c>
      <c r="F31" s="59">
        <f t="shared" si="3"/>
        <v>2.6886363636363635E-2</v>
      </c>
      <c r="G31" s="59">
        <f t="shared" si="3"/>
        <v>2.068181818181818E-2</v>
      </c>
      <c r="H31" s="59">
        <f t="shared" si="3"/>
        <v>1.4477272727272728E-2</v>
      </c>
      <c r="I31" s="59">
        <f t="shared" si="3"/>
        <v>8.2727272727272753E-3</v>
      </c>
      <c r="J31" s="59">
        <f>J28*$C$21*$C$10+J29*$C$22*$C$15+(J28*$C$22+J29*$C$21)*$C$18</f>
        <v>2.0681818181818223E-3</v>
      </c>
      <c r="K31" s="59">
        <f t="shared" si="3"/>
        <v>-4.1363636363636307E-3</v>
      </c>
      <c r="M31" s="59">
        <f t="shared" ref="M31" si="4">M28*$C$21*$C$10+M29*$C$22*$C$15+(M28*$C$22+M29*$C$21)*$C$18</f>
        <v>1.3631198347107437E-2</v>
      </c>
    </row>
    <row r="32" spans="2:13" x14ac:dyDescent="0.2">
      <c r="B32" s="10" t="s">
        <v>37</v>
      </c>
      <c r="C32" s="59">
        <f t="shared" ref="C32" si="5">C31/$C$24^2</f>
        <v>3.3379310344827582</v>
      </c>
      <c r="D32" s="59">
        <f t="shared" ref="D32:K32" si="6">D31/$C$24^2</f>
        <v>2.8827586206896547</v>
      </c>
      <c r="E32" s="59">
        <f>E31/$C$24^2</f>
        <v>2.4275862068965517</v>
      </c>
      <c r="F32" s="59">
        <f t="shared" si="6"/>
        <v>1.9724137931034482</v>
      </c>
      <c r="G32" s="59">
        <f t="shared" si="6"/>
        <v>1.5172413793103448</v>
      </c>
      <c r="H32" s="59">
        <f t="shared" si="6"/>
        <v>1.0620689655172415</v>
      </c>
      <c r="I32" s="59">
        <f t="shared" si="6"/>
        <v>0.60689655172413814</v>
      </c>
      <c r="J32" s="59">
        <f t="shared" si="6"/>
        <v>0.15172413793103479</v>
      </c>
      <c r="K32" s="59">
        <f t="shared" si="6"/>
        <v>-0.30344827586206857</v>
      </c>
      <c r="M32" s="59">
        <f t="shared" ref="M32" si="7">M31/$C$24^2</f>
        <v>1</v>
      </c>
    </row>
    <row r="33" spans="2:13" x14ac:dyDescent="0.2">
      <c r="B33" s="10" t="s">
        <v>38</v>
      </c>
      <c r="C33" s="60">
        <f>$C$5+C32*$C$25</f>
        <v>0.28000000000000025</v>
      </c>
      <c r="D33" s="60">
        <f t="shared" ref="D33:M33" si="8">$C$5+D32*$C$25</f>
        <v>0.25000000000000022</v>
      </c>
      <c r="E33" s="60">
        <f t="shared" si="8"/>
        <v>0.22000000000000022</v>
      </c>
      <c r="F33" s="60">
        <f t="shared" si="8"/>
        <v>0.19000000000000017</v>
      </c>
      <c r="G33" s="60">
        <f t="shared" si="8"/>
        <v>0.16000000000000014</v>
      </c>
      <c r="H33" s="60">
        <f t="shared" si="8"/>
        <v>0.13000000000000012</v>
      </c>
      <c r="I33" s="60">
        <f t="shared" si="8"/>
        <v>0.10000000000000006</v>
      </c>
      <c r="J33" s="60">
        <f t="shared" si="8"/>
        <v>7.0000000000000034E-2</v>
      </c>
      <c r="K33" s="60">
        <f t="shared" si="8"/>
        <v>3.9999999999999994E-2</v>
      </c>
      <c r="M33" s="60">
        <f t="shared" si="8"/>
        <v>0.125909090909091</v>
      </c>
    </row>
    <row r="34" spans="2:13" x14ac:dyDescent="0.2">
      <c r="B34" s="10" t="s">
        <v>39</v>
      </c>
      <c r="C34" s="60">
        <f t="shared" ref="C34" si="9">C28*$C$8+C29*$C$13</f>
        <v>0.27999999999999997</v>
      </c>
      <c r="D34" s="60">
        <f t="shared" ref="D34:K34" si="10">D28*$C$8+D29*$C$13</f>
        <v>0.25</v>
      </c>
      <c r="E34" s="60">
        <f t="shared" si="10"/>
        <v>0.22</v>
      </c>
      <c r="F34" s="60">
        <f t="shared" si="10"/>
        <v>0.19</v>
      </c>
      <c r="G34" s="60">
        <f t="shared" si="10"/>
        <v>0.16</v>
      </c>
      <c r="H34" s="60">
        <f t="shared" si="10"/>
        <v>0.13</v>
      </c>
      <c r="I34" s="60">
        <f t="shared" si="10"/>
        <v>0.1</v>
      </c>
      <c r="J34" s="60">
        <f t="shared" si="10"/>
        <v>7.0000000000000021E-2</v>
      </c>
      <c r="K34" s="60">
        <f t="shared" si="10"/>
        <v>4.0000000000000008E-2</v>
      </c>
      <c r="M34" s="60">
        <f t="shared" ref="M34" si="11">M28*$C$8+M29*$C$13</f>
        <v>0.12590909090909091</v>
      </c>
    </row>
    <row r="36" spans="2:13" x14ac:dyDescent="0.2">
      <c r="B36" s="1"/>
    </row>
    <row r="38" spans="2:13" x14ac:dyDescent="0.2">
      <c r="B38" s="1"/>
    </row>
    <row r="39" spans="2:13" x14ac:dyDescent="0.2">
      <c r="B39" s="1"/>
    </row>
    <row r="40" spans="2:13" x14ac:dyDescent="0.2">
      <c r="B40" s="1"/>
    </row>
    <row r="41" spans="2:13" x14ac:dyDescent="0.2">
      <c r="B41" s="1"/>
    </row>
    <row r="42" spans="2:13" x14ac:dyDescent="0.2">
      <c r="B42" s="1"/>
      <c r="L42" s="1" t="s">
        <v>19</v>
      </c>
    </row>
    <row r="43" spans="2:13" x14ac:dyDescent="0.2">
      <c r="B43" s="1"/>
    </row>
    <row r="44" spans="2:13" x14ac:dyDescent="0.2">
      <c r="B44" s="1"/>
    </row>
    <row r="45" spans="2:13" x14ac:dyDescent="0.2">
      <c r="B45" s="1"/>
    </row>
    <row r="46" spans="2:13" x14ac:dyDescent="0.2">
      <c r="B46" s="1"/>
    </row>
    <row r="47" spans="2:13" x14ac:dyDescent="0.2">
      <c r="B47" s="1"/>
    </row>
    <row r="48" spans="2:13" x14ac:dyDescent="0.2">
      <c r="B48" s="1"/>
    </row>
    <row r="49" spans="2:5" x14ac:dyDescent="0.2">
      <c r="B49" s="1"/>
    </row>
    <row r="51" spans="2:5" x14ac:dyDescent="0.2">
      <c r="B51" s="7"/>
      <c r="C51" s="56"/>
      <c r="D51" s="56"/>
      <c r="E51" s="56"/>
    </row>
  </sheetData>
  <printOptions headings="1" gridLines="1"/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5DFA7-EE68-4050-BDAC-08A8E5C1FEB2}">
  <dimension ref="B1:AB42"/>
  <sheetViews>
    <sheetView showGridLines="0" tabSelected="1" topLeftCell="A7" zoomScaleNormal="100" workbookViewId="0">
      <selection activeCell="C42" sqref="C42"/>
    </sheetView>
  </sheetViews>
  <sheetFormatPr defaultColWidth="9.140625" defaultRowHeight="12.75" x14ac:dyDescent="0.2"/>
  <cols>
    <col min="1" max="1" width="1.7109375" style="129" customWidth="1"/>
    <col min="2" max="2" width="3.7109375" style="130" customWidth="1"/>
    <col min="3" max="3" width="17.28515625" style="130" customWidth="1"/>
    <col min="4" max="4" width="9" style="129" customWidth="1"/>
    <col min="5" max="11" width="9.7109375" style="129" customWidth="1"/>
    <col min="12" max="15" width="9.140625" style="129"/>
    <col min="16" max="16" width="2.7109375" style="129" customWidth="1"/>
    <col min="17" max="23" width="9.140625" style="129"/>
    <col min="24" max="24" width="2.7109375" style="129" customWidth="1"/>
    <col min="25" max="16384" width="9.140625" style="129"/>
  </cols>
  <sheetData>
    <row r="1" spans="2:28" x14ac:dyDescent="0.2">
      <c r="B1" s="233"/>
    </row>
    <row r="2" spans="2:28" s="235" customFormat="1" x14ac:dyDescent="0.2">
      <c r="B2" s="235" t="s">
        <v>134</v>
      </c>
      <c r="C2" s="234" t="s">
        <v>133</v>
      </c>
    </row>
    <row r="3" spans="2:28" x14ac:dyDescent="0.2">
      <c r="B3" s="236" t="s">
        <v>135</v>
      </c>
      <c r="C3" s="237"/>
      <c r="D3" s="43"/>
      <c r="E3" s="43"/>
      <c r="F3" s="109"/>
      <c r="G3" s="109"/>
      <c r="H3" s="110" t="s">
        <v>2</v>
      </c>
      <c r="I3" s="110"/>
      <c r="J3" s="146" t="s">
        <v>19</v>
      </c>
      <c r="U3" s="198" t="s">
        <v>117</v>
      </c>
    </row>
    <row r="4" spans="2:28" x14ac:dyDescent="0.2">
      <c r="B4" s="236" t="s">
        <v>136</v>
      </c>
      <c r="C4" s="237"/>
      <c r="D4" s="43"/>
      <c r="E4" s="43"/>
      <c r="F4" s="112" t="s">
        <v>3</v>
      </c>
      <c r="G4" s="113" t="s">
        <v>3</v>
      </c>
      <c r="H4" s="114" t="s">
        <v>4</v>
      </c>
      <c r="I4" s="114" t="s">
        <v>5</v>
      </c>
      <c r="J4" s="114" t="s">
        <v>20</v>
      </c>
      <c r="L4" s="199" t="s">
        <v>118</v>
      </c>
      <c r="M4" s="199"/>
      <c r="N4" s="199"/>
      <c r="O4" s="199"/>
      <c r="Q4" s="199" t="s">
        <v>119</v>
      </c>
      <c r="R4" s="199"/>
      <c r="S4" s="199"/>
      <c r="T4" s="199"/>
      <c r="U4" s="199"/>
      <c r="V4" s="199"/>
      <c r="W4" s="199"/>
      <c r="X4" s="200"/>
      <c r="Y4" s="199" t="s">
        <v>120</v>
      </c>
      <c r="Z4" s="199"/>
      <c r="AA4" s="199"/>
    </row>
    <row r="5" spans="2:28" x14ac:dyDescent="0.2">
      <c r="B5" s="236"/>
      <c r="C5" s="237"/>
      <c r="D5" s="43"/>
      <c r="E5" s="43"/>
      <c r="F5" s="115" t="s">
        <v>6</v>
      </c>
      <c r="G5" s="116" t="s">
        <v>7</v>
      </c>
      <c r="H5" s="117" t="s">
        <v>8</v>
      </c>
      <c r="I5" s="117" t="s">
        <v>9</v>
      </c>
      <c r="J5" s="117" t="s">
        <v>21</v>
      </c>
      <c r="L5" s="201" t="s">
        <v>108</v>
      </c>
      <c r="M5" s="201" t="s">
        <v>26</v>
      </c>
      <c r="N5" s="201" t="s">
        <v>121</v>
      </c>
      <c r="O5" s="201" t="s">
        <v>122</v>
      </c>
      <c r="P5" s="201"/>
      <c r="Q5" s="201" t="s">
        <v>123</v>
      </c>
      <c r="R5" s="201" t="s">
        <v>124</v>
      </c>
      <c r="S5" s="201" t="s">
        <v>121</v>
      </c>
      <c r="T5" s="202" t="s">
        <v>125</v>
      </c>
      <c r="U5" s="202" t="s">
        <v>126</v>
      </c>
      <c r="V5" s="203" t="s">
        <v>127</v>
      </c>
      <c r="W5" s="201" t="s">
        <v>121</v>
      </c>
      <c r="X5" s="201"/>
      <c r="Y5" s="201" t="s">
        <v>128</v>
      </c>
      <c r="Z5" s="201" t="s">
        <v>129</v>
      </c>
      <c r="AA5" s="201" t="s">
        <v>130</v>
      </c>
    </row>
    <row r="6" spans="2:28" x14ac:dyDescent="0.2">
      <c r="B6" s="99" t="s">
        <v>0</v>
      </c>
      <c r="C6" s="99"/>
      <c r="D6" s="100"/>
      <c r="E6" s="100"/>
      <c r="F6" s="145">
        <v>-0.5</v>
      </c>
      <c r="G6" s="135">
        <f t="shared" ref="G6:G27" si="0">1-F6</f>
        <v>1.5</v>
      </c>
      <c r="H6" s="22">
        <f t="shared" ref="H6:H27" si="1">F6*$D$11+(1-F6)*$D$16</f>
        <v>0.19</v>
      </c>
      <c r="I6" s="22">
        <f t="shared" ref="I6:I27" si="2">SQRT(F6^2*$D$13+(1-F6)^2*$D$18+2*F6*(1-F6)*$D$22)</f>
        <v>0.28896366553599784</v>
      </c>
      <c r="J6" s="22">
        <f t="shared" ref="J6:J27" si="3">(H6-rf)/I6</f>
        <v>0.44988355113388873</v>
      </c>
      <c r="L6" s="204">
        <f t="shared" ref="L6:L14" si="4">L7+10%</f>
        <v>0.99999999999999989</v>
      </c>
      <c r="M6" s="205">
        <f>1-L6</f>
        <v>0</v>
      </c>
      <c r="N6" s="206">
        <f t="shared" ref="N6:N26" si="5">L6*rf+(M6*$D$25)</f>
        <v>5.9999999999999991E-2</v>
      </c>
      <c r="O6" s="204">
        <f>M6*$D$26</f>
        <v>0</v>
      </c>
      <c r="P6" s="204"/>
      <c r="Q6" s="204">
        <f t="shared" ref="Q6:Q26" si="6">1-R6</f>
        <v>1.666666666666667</v>
      </c>
      <c r="R6" s="55">
        <f t="shared" ref="R6:R26" si="7">(N6-r_a)/(r_b-r_a)</f>
        <v>-0.66666666666666696</v>
      </c>
      <c r="S6" s="207">
        <f t="shared" ref="S6:S26" si="8">R6*r_b+Q6*r_a</f>
        <v>0.06</v>
      </c>
      <c r="T6" s="22">
        <f t="shared" ref="T6:T26" si="9">SQRT(Q6^2*$D$13+R6^2*$D$18+2*Q6*R6*$D$22)</f>
        <v>0.1795054935711502</v>
      </c>
      <c r="U6" s="208">
        <f t="shared" ref="U6:U26" si="10">Q6*$F$39*$D$13+R6*$G$39*$D$18+(Q6*$G$39+R6*$F$39)*$D$22</f>
        <v>0</v>
      </c>
      <c r="V6" s="209">
        <f>U6/$D$26^2</f>
        <v>0</v>
      </c>
      <c r="W6" s="207">
        <f t="shared" ref="W6:W26" si="11">rf+V6*($D$25-rf)</f>
        <v>0.06</v>
      </c>
      <c r="X6" s="56"/>
      <c r="Y6" s="55">
        <f t="shared" ref="Y6:Y26" si="12">SQRT(M6^2*$D$26^2)</f>
        <v>0</v>
      </c>
      <c r="Z6" s="210">
        <f>SQRT(T6^2-V6^2*$D$26^2)</f>
        <v>0.1795054935711502</v>
      </c>
      <c r="AA6" s="55">
        <f t="shared" ref="AA6:AA24" si="13">SQRT(Y6^2+Z6^2)</f>
        <v>0.1795054935711502</v>
      </c>
    </row>
    <row r="7" spans="2:28" x14ac:dyDescent="0.2">
      <c r="F7" s="136">
        <f>F6+10%</f>
        <v>-0.4</v>
      </c>
      <c r="G7" s="135">
        <f t="shared" si="0"/>
        <v>1.4</v>
      </c>
      <c r="H7" s="22">
        <f t="shared" si="1"/>
        <v>0.18399999999999997</v>
      </c>
      <c r="I7" s="22">
        <f t="shared" si="2"/>
        <v>0.27070278905101813</v>
      </c>
      <c r="J7" s="22">
        <f t="shared" si="3"/>
        <v>0.45806694653829461</v>
      </c>
      <c r="L7" s="204">
        <f t="shared" si="4"/>
        <v>0.89999999999999991</v>
      </c>
      <c r="M7" s="205">
        <f>1-L7</f>
        <v>0.10000000000000009</v>
      </c>
      <c r="N7" s="206">
        <f t="shared" si="5"/>
        <v>6.6590909090909089E-2</v>
      </c>
      <c r="O7" s="204">
        <f t="shared" ref="O7:O26" si="14">M7*$D$26</f>
        <v>1.1675272308219395E-2</v>
      </c>
      <c r="P7" s="204"/>
      <c r="Q7" s="204">
        <f t="shared" si="6"/>
        <v>1.5568181818181821</v>
      </c>
      <c r="R7" s="55">
        <f t="shared" si="7"/>
        <v>-0.55681818181818199</v>
      </c>
      <c r="S7" s="207">
        <f t="shared" si="8"/>
        <v>6.6590909090909103E-2</v>
      </c>
      <c r="T7" s="22">
        <f t="shared" si="9"/>
        <v>0.16197626981589339</v>
      </c>
      <c r="U7" s="208">
        <f t="shared" si="10"/>
        <v>1.3631198347107457E-3</v>
      </c>
      <c r="V7" s="209">
        <f t="shared" ref="V7:V26" si="15">U7/$D$26^2</f>
        <v>0.10000000000000014</v>
      </c>
      <c r="W7" s="207">
        <f t="shared" si="11"/>
        <v>6.6590909090909103E-2</v>
      </c>
      <c r="X7" s="56"/>
      <c r="Y7" s="55">
        <f t="shared" si="12"/>
        <v>1.1675272308219393E-2</v>
      </c>
      <c r="Z7" s="210">
        <f t="shared" ref="Z7:Z26" si="16">SQRT(T7^2-V7^2*$D$26^2)</f>
        <v>0.16155494421403518</v>
      </c>
      <c r="AA7" s="55">
        <f t="shared" si="13"/>
        <v>0.16197626981589339</v>
      </c>
    </row>
    <row r="8" spans="2:28" x14ac:dyDescent="0.2">
      <c r="C8" s="144" t="s">
        <v>1</v>
      </c>
      <c r="D8" s="101">
        <v>0.06</v>
      </c>
      <c r="F8" s="136">
        <f t="shared" ref="F8:F27" si="17">F7+10%</f>
        <v>-0.30000000000000004</v>
      </c>
      <c r="G8" s="135">
        <f t="shared" si="0"/>
        <v>1.3</v>
      </c>
      <c r="H8" s="22">
        <f t="shared" si="1"/>
        <v>0.17800000000000002</v>
      </c>
      <c r="I8" s="22">
        <f t="shared" si="2"/>
        <v>0.25262620608321695</v>
      </c>
      <c r="J8" s="22">
        <f t="shared" si="3"/>
        <v>0.46709326728015677</v>
      </c>
      <c r="L8" s="204">
        <f t="shared" si="4"/>
        <v>0.79999999999999993</v>
      </c>
      <c r="M8" s="205">
        <f t="shared" ref="M8:M26" si="18">1-L8</f>
        <v>0.20000000000000007</v>
      </c>
      <c r="N8" s="206">
        <f t="shared" si="5"/>
        <v>7.3181818181818181E-2</v>
      </c>
      <c r="O8" s="204">
        <f t="shared" si="14"/>
        <v>2.3350544616438776E-2</v>
      </c>
      <c r="P8" s="204"/>
      <c r="Q8" s="204">
        <f t="shared" si="6"/>
        <v>1.446969696969697</v>
      </c>
      <c r="R8" s="55">
        <f t="shared" si="7"/>
        <v>-0.44696969696969707</v>
      </c>
      <c r="S8" s="207">
        <f t="shared" si="8"/>
        <v>7.3181818181818181E-2</v>
      </c>
      <c r="T8" s="22">
        <f t="shared" si="9"/>
        <v>0.1454904469582334</v>
      </c>
      <c r="U8" s="208">
        <f t="shared" si="10"/>
        <v>2.7262396694214901E-3</v>
      </c>
      <c r="V8" s="209">
        <f t="shared" si="15"/>
        <v>0.20000000000000021</v>
      </c>
      <c r="W8" s="207">
        <f t="shared" si="11"/>
        <v>7.3181818181818195E-2</v>
      </c>
      <c r="X8" s="56"/>
      <c r="Y8" s="55">
        <f t="shared" si="12"/>
        <v>2.3350544616438776E-2</v>
      </c>
      <c r="Z8" s="210">
        <f t="shared" si="16"/>
        <v>0.14360439485692014</v>
      </c>
      <c r="AA8" s="55">
        <f t="shared" si="13"/>
        <v>0.1454904469582334</v>
      </c>
    </row>
    <row r="9" spans="2:28" x14ac:dyDescent="0.2">
      <c r="F9" s="136">
        <f t="shared" si="17"/>
        <v>-0.20000000000000004</v>
      </c>
      <c r="G9" s="135">
        <f t="shared" si="0"/>
        <v>1.2</v>
      </c>
      <c r="H9" s="22">
        <f t="shared" si="1"/>
        <v>0.17199999999999999</v>
      </c>
      <c r="I9" s="22">
        <f t="shared" si="2"/>
        <v>0.23477648945326704</v>
      </c>
      <c r="J9" s="22">
        <f t="shared" si="3"/>
        <v>0.47704947058718977</v>
      </c>
      <c r="L9" s="204">
        <f t="shared" si="4"/>
        <v>0.7</v>
      </c>
      <c r="M9" s="205">
        <f t="shared" si="18"/>
        <v>0.30000000000000004</v>
      </c>
      <c r="N9" s="206">
        <f t="shared" si="5"/>
        <v>7.9772727272727273E-2</v>
      </c>
      <c r="O9" s="204">
        <f t="shared" si="14"/>
        <v>3.5025816924658157E-2</v>
      </c>
      <c r="P9" s="204"/>
      <c r="Q9" s="204">
        <f t="shared" si="6"/>
        <v>1.3371212121212122</v>
      </c>
      <c r="R9" s="55">
        <f t="shared" si="7"/>
        <v>-0.33712121212121221</v>
      </c>
      <c r="S9" s="207">
        <f t="shared" si="8"/>
        <v>7.9772727272727273E-2</v>
      </c>
      <c r="T9" s="22">
        <f t="shared" si="9"/>
        <v>0.13044422846614781</v>
      </c>
      <c r="U9" s="208">
        <f t="shared" si="10"/>
        <v>4.0893595041322332E-3</v>
      </c>
      <c r="V9" s="209">
        <f t="shared" si="15"/>
        <v>0.30000000000000016</v>
      </c>
      <c r="W9" s="207">
        <f t="shared" si="11"/>
        <v>7.9772727272727287E-2</v>
      </c>
      <c r="X9" s="56"/>
      <c r="Y9" s="55">
        <f t="shared" si="12"/>
        <v>3.5025816924658157E-2</v>
      </c>
      <c r="Z9" s="210">
        <f t="shared" si="16"/>
        <v>0.12565384549980513</v>
      </c>
      <c r="AA9" s="55">
        <f t="shared" si="13"/>
        <v>0.13044422846614781</v>
      </c>
    </row>
    <row r="10" spans="2:28" x14ac:dyDescent="0.2">
      <c r="B10" s="143" t="s">
        <v>6</v>
      </c>
      <c r="C10" s="142"/>
      <c r="D10" s="138"/>
      <c r="F10" s="136">
        <f t="shared" si="17"/>
        <v>-0.10000000000000003</v>
      </c>
      <c r="G10" s="135">
        <f t="shared" si="0"/>
        <v>1.1000000000000001</v>
      </c>
      <c r="H10" s="22">
        <f t="shared" si="1"/>
        <v>0.16600000000000001</v>
      </c>
      <c r="I10" s="22">
        <f t="shared" si="2"/>
        <v>0.21720957621615125</v>
      </c>
      <c r="J10" s="22">
        <f t="shared" si="3"/>
        <v>0.48800794995574448</v>
      </c>
      <c r="L10" s="204">
        <f t="shared" si="4"/>
        <v>0.6</v>
      </c>
      <c r="M10" s="205">
        <f t="shared" si="18"/>
        <v>0.4</v>
      </c>
      <c r="N10" s="206">
        <f t="shared" si="5"/>
        <v>8.6363636363636365E-2</v>
      </c>
      <c r="O10" s="204">
        <f t="shared" si="14"/>
        <v>4.6701089232877538E-2</v>
      </c>
      <c r="P10" s="204"/>
      <c r="Q10" s="204">
        <f t="shared" si="6"/>
        <v>1.2272727272727273</v>
      </c>
      <c r="R10" s="55">
        <f t="shared" si="7"/>
        <v>-0.22727272727272735</v>
      </c>
      <c r="S10" s="207">
        <f t="shared" si="8"/>
        <v>8.6363636363636365E-2</v>
      </c>
      <c r="T10" s="22">
        <f t="shared" si="9"/>
        <v>0.11739246881949963</v>
      </c>
      <c r="U10" s="208">
        <f t="shared" si="10"/>
        <v>5.4524793388429768E-3</v>
      </c>
      <c r="V10" s="209">
        <f t="shared" si="15"/>
        <v>0.40000000000000013</v>
      </c>
      <c r="W10" s="207">
        <f t="shared" si="11"/>
        <v>8.6363636363636379E-2</v>
      </c>
      <c r="X10" s="56"/>
      <c r="Y10" s="55">
        <f t="shared" si="12"/>
        <v>4.6701089232877538E-2</v>
      </c>
      <c r="Z10" s="210">
        <f t="shared" si="16"/>
        <v>0.1077032961426901</v>
      </c>
      <c r="AA10" s="55">
        <f t="shared" si="13"/>
        <v>0.11739246881949963</v>
      </c>
    </row>
    <row r="11" spans="2:28" x14ac:dyDescent="0.2">
      <c r="B11" s="137" t="s">
        <v>10</v>
      </c>
      <c r="C11" s="137"/>
      <c r="D11" s="101">
        <v>0.1</v>
      </c>
      <c r="F11" s="136">
        <f t="shared" si="17"/>
        <v>0</v>
      </c>
      <c r="G11" s="135">
        <f t="shared" si="0"/>
        <v>1</v>
      </c>
      <c r="H11" s="22">
        <f t="shared" si="1"/>
        <v>0.16</v>
      </c>
      <c r="I11" s="22">
        <f t="shared" si="2"/>
        <v>0.2</v>
      </c>
      <c r="J11" s="22">
        <f t="shared" si="3"/>
        <v>0.5</v>
      </c>
      <c r="L11" s="204">
        <f t="shared" si="4"/>
        <v>0.5</v>
      </c>
      <c r="M11" s="205">
        <f t="shared" si="18"/>
        <v>0.5</v>
      </c>
      <c r="N11" s="206">
        <f t="shared" si="5"/>
        <v>9.2954545454545456E-2</v>
      </c>
      <c r="O11" s="204">
        <f t="shared" si="14"/>
        <v>5.8376361541096919E-2</v>
      </c>
      <c r="P11" s="204"/>
      <c r="Q11" s="204">
        <f t="shared" si="6"/>
        <v>1.1174242424242424</v>
      </c>
      <c r="R11" s="55">
        <f t="shared" si="7"/>
        <v>-0.11742424242424249</v>
      </c>
      <c r="S11" s="207">
        <f t="shared" si="8"/>
        <v>9.2954545454545456E-2</v>
      </c>
      <c r="T11" s="22">
        <f t="shared" si="9"/>
        <v>0.10706705909070455</v>
      </c>
      <c r="U11" s="208">
        <f t="shared" si="10"/>
        <v>6.8155991735537203E-3</v>
      </c>
      <c r="V11" s="209">
        <f t="shared" si="15"/>
        <v>0.50000000000000011</v>
      </c>
      <c r="W11" s="207">
        <f t="shared" si="11"/>
        <v>9.2954545454545456E-2</v>
      </c>
      <c r="X11" s="56"/>
      <c r="Y11" s="55">
        <f t="shared" si="12"/>
        <v>5.8376361541096919E-2</v>
      </c>
      <c r="Z11" s="210">
        <f t="shared" si="16"/>
        <v>8.9752746785575085E-2</v>
      </c>
      <c r="AA11" s="55">
        <f t="shared" si="13"/>
        <v>0.10706705909070455</v>
      </c>
    </row>
    <row r="12" spans="2:28" x14ac:dyDescent="0.2">
      <c r="B12" s="137" t="s">
        <v>11</v>
      </c>
      <c r="C12" s="137"/>
      <c r="D12" s="101">
        <v>0.1</v>
      </c>
      <c r="F12" s="136">
        <f t="shared" si="17"/>
        <v>0.1</v>
      </c>
      <c r="G12" s="135">
        <f t="shared" si="0"/>
        <v>0.9</v>
      </c>
      <c r="H12" s="22">
        <f t="shared" si="1"/>
        <v>0.15400000000000003</v>
      </c>
      <c r="I12" s="22">
        <f t="shared" si="2"/>
        <v>0.18324846520503249</v>
      </c>
      <c r="J12" s="22">
        <f t="shared" si="3"/>
        <v>0.51296473285506428</v>
      </c>
      <c r="L12" s="204">
        <f t="shared" si="4"/>
        <v>0.4</v>
      </c>
      <c r="M12" s="205">
        <f t="shared" si="18"/>
        <v>0.6</v>
      </c>
      <c r="N12" s="206">
        <f t="shared" si="5"/>
        <v>9.9545454545454548E-2</v>
      </c>
      <c r="O12" s="204">
        <f t="shared" si="14"/>
        <v>7.00516338493163E-2</v>
      </c>
      <c r="P12" s="204"/>
      <c r="Q12" s="204">
        <f t="shared" si="6"/>
        <v>1.0075757575757576</v>
      </c>
      <c r="R12" s="55">
        <f t="shared" si="7"/>
        <v>-7.5757575757576245E-3</v>
      </c>
      <c r="S12" s="207">
        <f t="shared" si="8"/>
        <v>9.9545454545454548E-2</v>
      </c>
      <c r="T12" s="22">
        <f t="shared" si="9"/>
        <v>0.10031344356821889</v>
      </c>
      <c r="U12" s="208">
        <f t="shared" si="10"/>
        <v>8.178719008264463E-3</v>
      </c>
      <c r="V12" s="209">
        <f t="shared" si="15"/>
        <v>0.60000000000000009</v>
      </c>
      <c r="W12" s="207">
        <f t="shared" si="11"/>
        <v>9.9545454545454548E-2</v>
      </c>
      <c r="X12" s="56"/>
      <c r="Y12" s="55">
        <f t="shared" si="12"/>
        <v>7.00516338493163E-2</v>
      </c>
      <c r="Z12" s="210">
        <f t="shared" si="16"/>
        <v>7.1802197428460071E-2</v>
      </c>
      <c r="AA12" s="55">
        <f t="shared" si="13"/>
        <v>0.10031344356821889</v>
      </c>
    </row>
    <row r="13" spans="2:28" x14ac:dyDescent="0.2">
      <c r="B13" s="130" t="s">
        <v>12</v>
      </c>
      <c r="D13" s="24">
        <f>D12^2</f>
        <v>1.0000000000000002E-2</v>
      </c>
      <c r="F13" s="136">
        <f t="shared" si="17"/>
        <v>0.2</v>
      </c>
      <c r="G13" s="135">
        <f t="shared" si="0"/>
        <v>0.8</v>
      </c>
      <c r="H13" s="22">
        <f t="shared" si="1"/>
        <v>0.14800000000000002</v>
      </c>
      <c r="I13" s="22">
        <f t="shared" si="2"/>
        <v>0.16709278859364343</v>
      </c>
      <c r="J13" s="22">
        <f t="shared" si="3"/>
        <v>0.52665348840403359</v>
      </c>
      <c r="L13" s="204">
        <f t="shared" si="4"/>
        <v>0.30000000000000004</v>
      </c>
      <c r="M13" s="205">
        <f t="shared" si="18"/>
        <v>0.7</v>
      </c>
      <c r="N13" s="206">
        <f t="shared" si="5"/>
        <v>0.10613636363636364</v>
      </c>
      <c r="O13" s="204">
        <f t="shared" si="14"/>
        <v>8.1726906157535681E-2</v>
      </c>
      <c r="P13" s="204"/>
      <c r="Q13" s="204">
        <f t="shared" si="6"/>
        <v>0.89772727272727271</v>
      </c>
      <c r="R13" s="55">
        <f t="shared" si="7"/>
        <v>0.10227272727272724</v>
      </c>
      <c r="S13" s="207">
        <f t="shared" si="8"/>
        <v>0.10613636363636364</v>
      </c>
      <c r="T13" s="22">
        <f t="shared" si="9"/>
        <v>9.7873833020285073E-2</v>
      </c>
      <c r="U13" s="208">
        <f t="shared" si="10"/>
        <v>9.5418388429752074E-3</v>
      </c>
      <c r="V13" s="209">
        <f t="shared" si="15"/>
        <v>0.70000000000000007</v>
      </c>
      <c r="W13" s="207">
        <f t="shared" si="11"/>
        <v>0.10613636363636364</v>
      </c>
      <c r="X13" s="56"/>
      <c r="Y13" s="55">
        <f t="shared" si="12"/>
        <v>8.1726906157535681E-2</v>
      </c>
      <c r="Z13" s="210">
        <f t="shared" si="16"/>
        <v>5.3851648071345029E-2</v>
      </c>
      <c r="AA13" s="55">
        <f t="shared" si="13"/>
        <v>9.7873833020285059E-2</v>
      </c>
    </row>
    <row r="14" spans="2:28" x14ac:dyDescent="0.2">
      <c r="F14" s="136">
        <f t="shared" si="17"/>
        <v>0.30000000000000004</v>
      </c>
      <c r="G14" s="135">
        <f t="shared" si="0"/>
        <v>0.7</v>
      </c>
      <c r="H14" s="22">
        <f t="shared" si="1"/>
        <v>0.14199999999999999</v>
      </c>
      <c r="I14" s="22">
        <f t="shared" si="2"/>
        <v>0.15172343260024143</v>
      </c>
      <c r="J14" s="22">
        <f t="shared" si="3"/>
        <v>0.54045705791571652</v>
      </c>
      <c r="L14" s="204">
        <f t="shared" si="4"/>
        <v>0.2</v>
      </c>
      <c r="M14" s="205">
        <f t="shared" si="18"/>
        <v>0.8</v>
      </c>
      <c r="N14" s="206">
        <f t="shared" si="5"/>
        <v>0.11272727272727273</v>
      </c>
      <c r="O14" s="204">
        <f t="shared" si="14"/>
        <v>9.3402178465755076E-2</v>
      </c>
      <c r="P14" s="204"/>
      <c r="Q14" s="204">
        <f t="shared" si="6"/>
        <v>0.78787878787878785</v>
      </c>
      <c r="R14" s="55">
        <f t="shared" si="7"/>
        <v>0.2121212121212121</v>
      </c>
      <c r="S14" s="207">
        <f t="shared" si="8"/>
        <v>0.11272727272727273</v>
      </c>
      <c r="T14" s="22">
        <f t="shared" si="9"/>
        <v>0.10006425850940809</v>
      </c>
      <c r="U14" s="208">
        <f t="shared" si="10"/>
        <v>1.0904958677685952E-2</v>
      </c>
      <c r="V14" s="209">
        <f t="shared" si="15"/>
        <v>0.80000000000000016</v>
      </c>
      <c r="W14" s="207">
        <f t="shared" si="11"/>
        <v>0.11272727272727273</v>
      </c>
      <c r="X14" s="56"/>
      <c r="Y14" s="55">
        <f t="shared" si="12"/>
        <v>9.3402178465755076E-2</v>
      </c>
      <c r="Z14" s="210">
        <f t="shared" si="16"/>
        <v>3.5901098714229994E-2</v>
      </c>
      <c r="AA14" s="55">
        <f t="shared" si="13"/>
        <v>0.10006425850940809</v>
      </c>
    </row>
    <row r="15" spans="2:28" x14ac:dyDescent="0.2">
      <c r="B15" s="140" t="s">
        <v>7</v>
      </c>
      <c r="C15" s="139"/>
      <c r="D15" s="138"/>
      <c r="F15" s="136">
        <f t="shared" si="17"/>
        <v>0.4</v>
      </c>
      <c r="G15" s="135">
        <f t="shared" si="0"/>
        <v>0.6</v>
      </c>
      <c r="H15" s="22">
        <f t="shared" si="1"/>
        <v>0.13600000000000001</v>
      </c>
      <c r="I15" s="22">
        <f t="shared" si="2"/>
        <v>0.13740451229854136</v>
      </c>
      <c r="J15" s="22">
        <f t="shared" si="3"/>
        <v>0.55311138425260287</v>
      </c>
      <c r="L15" s="204">
        <f>L16+10%</f>
        <v>0.1</v>
      </c>
      <c r="M15" s="205">
        <f t="shared" si="18"/>
        <v>0.9</v>
      </c>
      <c r="N15" s="206">
        <f t="shared" si="5"/>
        <v>0.11931818181818184</v>
      </c>
      <c r="O15" s="204">
        <f t="shared" si="14"/>
        <v>0.10507745077397446</v>
      </c>
      <c r="P15" s="204"/>
      <c r="Q15" s="204">
        <f t="shared" si="6"/>
        <v>0.67803030303030276</v>
      </c>
      <c r="R15" s="55">
        <f t="shared" si="7"/>
        <v>0.32196969696969718</v>
      </c>
      <c r="S15" s="207">
        <f t="shared" si="8"/>
        <v>0.11931818181818182</v>
      </c>
      <c r="T15" s="22">
        <f t="shared" si="9"/>
        <v>0.1065996851936217</v>
      </c>
      <c r="U15" s="208">
        <f t="shared" si="10"/>
        <v>1.2268078512396698E-2</v>
      </c>
      <c r="V15" s="209">
        <f t="shared" si="15"/>
        <v>0.90000000000000036</v>
      </c>
      <c r="W15" s="207">
        <f t="shared" si="11"/>
        <v>0.11931818181818185</v>
      </c>
      <c r="X15" s="56"/>
      <c r="Y15" s="55">
        <f t="shared" si="12"/>
        <v>0.10507745077397446</v>
      </c>
      <c r="Z15" s="210">
        <f t="shared" si="16"/>
        <v>1.7950549357114862E-2</v>
      </c>
      <c r="AA15" s="55">
        <f t="shared" si="13"/>
        <v>0.10659968519362166</v>
      </c>
    </row>
    <row r="16" spans="2:28" x14ac:dyDescent="0.2">
      <c r="B16" s="137" t="s">
        <v>10</v>
      </c>
      <c r="C16" s="137"/>
      <c r="D16" s="101">
        <v>0.16</v>
      </c>
      <c r="F16" s="136">
        <f t="shared" si="17"/>
        <v>0.5</v>
      </c>
      <c r="G16" s="135">
        <f t="shared" si="0"/>
        <v>0.5</v>
      </c>
      <c r="H16" s="22">
        <f t="shared" si="1"/>
        <v>0.13</v>
      </c>
      <c r="I16" s="22">
        <f t="shared" si="2"/>
        <v>0.12449899597988734</v>
      </c>
      <c r="J16" s="22">
        <f t="shared" si="3"/>
        <v>0.56225353023174918</v>
      </c>
      <c r="L16" s="211">
        <v>0</v>
      </c>
      <c r="M16" s="212">
        <v>1</v>
      </c>
      <c r="N16" s="213">
        <f t="shared" si="5"/>
        <v>0.12590909090909091</v>
      </c>
      <c r="O16" s="214">
        <f t="shared" si="14"/>
        <v>0.11675272308219384</v>
      </c>
      <c r="P16" s="215"/>
      <c r="Q16" s="214">
        <f t="shared" si="6"/>
        <v>0.56818181818181812</v>
      </c>
      <c r="R16" s="216">
        <f t="shared" si="7"/>
        <v>0.43181818181818182</v>
      </c>
      <c r="S16" s="207">
        <f t="shared" si="8"/>
        <v>0.12590909090909091</v>
      </c>
      <c r="T16" s="22">
        <f t="shared" si="9"/>
        <v>0.11675272308219384</v>
      </c>
      <c r="U16" s="208">
        <f t="shared" si="10"/>
        <v>1.3631198347107437E-2</v>
      </c>
      <c r="V16" s="209">
        <f t="shared" si="15"/>
        <v>1</v>
      </c>
      <c r="W16" s="207">
        <f t="shared" si="11"/>
        <v>0.12590909090909091</v>
      </c>
      <c r="X16" s="56"/>
      <c r="Y16" s="55">
        <f t="shared" si="12"/>
        <v>0.11675272308219384</v>
      </c>
      <c r="Z16" s="210">
        <f t="shared" si="16"/>
        <v>0</v>
      </c>
      <c r="AA16" s="55">
        <f t="shared" si="13"/>
        <v>0.11675272308219384</v>
      </c>
      <c r="AB16" s="148">
        <f>(N16-rf)/O16</f>
        <v>0.56451866105676152</v>
      </c>
    </row>
    <row r="17" spans="2:28" x14ac:dyDescent="0.2">
      <c r="B17" s="137" t="s">
        <v>11</v>
      </c>
      <c r="C17" s="137"/>
      <c r="D17" s="101">
        <v>0.2</v>
      </c>
      <c r="F17" s="136">
        <f t="shared" si="17"/>
        <v>0.6</v>
      </c>
      <c r="G17" s="135">
        <f t="shared" si="0"/>
        <v>0.4</v>
      </c>
      <c r="H17" s="22">
        <f t="shared" si="1"/>
        <v>0.124</v>
      </c>
      <c r="I17" s="22">
        <f t="shared" si="2"/>
        <v>0.11349008767288887</v>
      </c>
      <c r="J17" s="22">
        <f t="shared" si="3"/>
        <v>0.56392590148019306</v>
      </c>
      <c r="L17" s="204">
        <f t="shared" ref="L17:L26" si="19">L16-10%</f>
        <v>-0.1</v>
      </c>
      <c r="M17" s="205">
        <f t="shared" si="18"/>
        <v>1.1000000000000001</v>
      </c>
      <c r="N17" s="206">
        <f t="shared" si="5"/>
        <v>0.13250000000000001</v>
      </c>
      <c r="O17" s="204">
        <f t="shared" si="14"/>
        <v>0.12842799539041322</v>
      </c>
      <c r="P17" s="204"/>
      <c r="Q17" s="204">
        <f t="shared" si="6"/>
        <v>0.45833333333333326</v>
      </c>
      <c r="R17" s="55">
        <f t="shared" si="7"/>
        <v>0.54166666666666674</v>
      </c>
      <c r="S17" s="207">
        <f t="shared" si="8"/>
        <v>0.13250000000000001</v>
      </c>
      <c r="T17" s="22">
        <f t="shared" si="9"/>
        <v>0.12967641351542009</v>
      </c>
      <c r="U17" s="208">
        <f t="shared" si="10"/>
        <v>1.4994318181818183E-2</v>
      </c>
      <c r="V17" s="209">
        <f t="shared" si="15"/>
        <v>1.1000000000000001</v>
      </c>
      <c r="W17" s="207">
        <f t="shared" si="11"/>
        <v>0.13250000000000001</v>
      </c>
      <c r="X17" s="56"/>
      <c r="Y17" s="55">
        <f t="shared" si="12"/>
        <v>0.12842799539041322</v>
      </c>
      <c r="Z17" s="210">
        <f t="shared" si="16"/>
        <v>1.7950549357115056E-2</v>
      </c>
      <c r="AA17" s="55">
        <f t="shared" si="13"/>
        <v>0.12967641351542009</v>
      </c>
      <c r="AB17" s="148">
        <f>(N17-rf)/O17</f>
        <v>0.56451866105676152</v>
      </c>
    </row>
    <row r="18" spans="2:28" x14ac:dyDescent="0.2">
      <c r="B18" s="130" t="s">
        <v>12</v>
      </c>
      <c r="D18" s="29">
        <f>D17^2</f>
        <v>4.0000000000000008E-2</v>
      </c>
      <c r="F18" s="136">
        <f t="shared" si="17"/>
        <v>0.7</v>
      </c>
      <c r="G18" s="135">
        <f t="shared" si="0"/>
        <v>0.30000000000000004</v>
      </c>
      <c r="H18" s="22">
        <f t="shared" si="1"/>
        <v>0.11799999999999999</v>
      </c>
      <c r="I18" s="22">
        <f t="shared" si="2"/>
        <v>0.10497618777608568</v>
      </c>
      <c r="J18" s="22">
        <f t="shared" si="3"/>
        <v>0.55250625145308241</v>
      </c>
      <c r="L18" s="204">
        <f t="shared" si="19"/>
        <v>-0.2</v>
      </c>
      <c r="M18" s="205">
        <f t="shared" si="18"/>
        <v>1.2</v>
      </c>
      <c r="N18" s="206">
        <f t="shared" si="5"/>
        <v>0.13909090909090907</v>
      </c>
      <c r="O18" s="204">
        <f t="shared" si="14"/>
        <v>0.1401032676986326</v>
      </c>
      <c r="P18" s="204"/>
      <c r="Q18" s="204">
        <f t="shared" si="6"/>
        <v>0.34848484848484884</v>
      </c>
      <c r="R18" s="55">
        <f t="shared" si="7"/>
        <v>0.65151515151515116</v>
      </c>
      <c r="S18" s="207">
        <f t="shared" si="8"/>
        <v>0.13909090909090907</v>
      </c>
      <c r="T18" s="22">
        <f t="shared" si="9"/>
        <v>0.14462992259115534</v>
      </c>
      <c r="U18" s="208">
        <f t="shared" si="10"/>
        <v>1.6357438016528919E-2</v>
      </c>
      <c r="V18" s="209">
        <f t="shared" si="15"/>
        <v>1.1999999999999995</v>
      </c>
      <c r="W18" s="207">
        <f t="shared" si="11"/>
        <v>0.13909090909090907</v>
      </c>
      <c r="X18" s="56"/>
      <c r="Y18" s="55">
        <f t="shared" si="12"/>
        <v>0.1401032676986326</v>
      </c>
      <c r="Z18" s="210">
        <f t="shared" si="16"/>
        <v>3.5901098714230112E-2</v>
      </c>
      <c r="AA18" s="55">
        <f t="shared" si="13"/>
        <v>0.1446299225911554</v>
      </c>
      <c r="AB18" s="148">
        <f>(N18-rf)/O18</f>
        <v>0.5645186610567613</v>
      </c>
    </row>
    <row r="19" spans="2:28" x14ac:dyDescent="0.2">
      <c r="F19" s="136">
        <f t="shared" si="17"/>
        <v>0.79999999999999993</v>
      </c>
      <c r="G19" s="135">
        <f t="shared" si="0"/>
        <v>0.20000000000000007</v>
      </c>
      <c r="H19" s="22">
        <f t="shared" si="1"/>
        <v>0.11200000000000002</v>
      </c>
      <c r="I19" s="22">
        <f t="shared" si="2"/>
        <v>9.9599196783909869E-2</v>
      </c>
      <c r="J19" s="22">
        <f t="shared" si="3"/>
        <v>0.52209256378662439</v>
      </c>
      <c r="L19" s="204">
        <f t="shared" si="19"/>
        <v>-0.30000000000000004</v>
      </c>
      <c r="M19" s="205">
        <f t="shared" si="18"/>
        <v>1.3</v>
      </c>
      <c r="N19" s="206">
        <f t="shared" si="5"/>
        <v>0.14568181818181819</v>
      </c>
      <c r="O19" s="204">
        <f t="shared" si="14"/>
        <v>0.15177854000685198</v>
      </c>
      <c r="P19" s="204"/>
      <c r="Q19" s="204">
        <f t="shared" si="6"/>
        <v>0.23863636363636354</v>
      </c>
      <c r="R19" s="55">
        <f t="shared" si="7"/>
        <v>0.76136363636363646</v>
      </c>
      <c r="S19" s="207">
        <f t="shared" si="8"/>
        <v>0.14568181818181819</v>
      </c>
      <c r="T19" s="22">
        <f t="shared" si="9"/>
        <v>0.16104882864091741</v>
      </c>
      <c r="U19" s="208">
        <f t="shared" si="10"/>
        <v>1.772055785123967E-2</v>
      </c>
      <c r="V19" s="209">
        <f t="shared" si="15"/>
        <v>1.3</v>
      </c>
      <c r="W19" s="207">
        <f t="shared" si="11"/>
        <v>0.14568181818181819</v>
      </c>
      <c r="X19" s="56"/>
      <c r="Y19" s="55">
        <f t="shared" si="12"/>
        <v>0.15177854000685201</v>
      </c>
      <c r="Z19" s="210">
        <f t="shared" si="16"/>
        <v>5.3851648071345105E-2</v>
      </c>
      <c r="AA19" s="55">
        <f t="shared" si="13"/>
        <v>0.16104882864091741</v>
      </c>
      <c r="AB19" s="148">
        <f>(N19-rf)/O19</f>
        <v>0.56451866105676152</v>
      </c>
    </row>
    <row r="20" spans="2:28" x14ac:dyDescent="0.2">
      <c r="B20" s="140" t="s">
        <v>68</v>
      </c>
      <c r="C20" s="139"/>
      <c r="D20" s="138"/>
      <c r="F20" s="136">
        <f t="shared" si="17"/>
        <v>0.89999999999999991</v>
      </c>
      <c r="G20" s="135">
        <f t="shared" si="0"/>
        <v>0.10000000000000009</v>
      </c>
      <c r="H20" s="22">
        <f t="shared" si="1"/>
        <v>0.10600000000000001</v>
      </c>
      <c r="I20" s="22">
        <f t="shared" si="2"/>
        <v>9.787747442593725E-2</v>
      </c>
      <c r="J20" s="22">
        <f t="shared" si="3"/>
        <v>0.46997534693038773</v>
      </c>
      <c r="L20" s="204">
        <f t="shared" si="19"/>
        <v>-0.4</v>
      </c>
      <c r="M20" s="205">
        <f t="shared" si="18"/>
        <v>1.4</v>
      </c>
      <c r="N20" s="206">
        <f t="shared" si="5"/>
        <v>0.15227272727272728</v>
      </c>
      <c r="O20" s="204">
        <f t="shared" si="14"/>
        <v>0.16345381231507136</v>
      </c>
      <c r="P20" s="204"/>
      <c r="Q20" s="204">
        <f t="shared" si="6"/>
        <v>0.12878787878787867</v>
      </c>
      <c r="R20" s="55">
        <f t="shared" si="7"/>
        <v>0.87121212121212133</v>
      </c>
      <c r="S20" s="207">
        <f t="shared" si="8"/>
        <v>0.15227272727272728</v>
      </c>
      <c r="T20" s="22">
        <f t="shared" si="9"/>
        <v>0.17852928139631927</v>
      </c>
      <c r="U20" s="208">
        <f t="shared" si="10"/>
        <v>1.9083677685950415E-2</v>
      </c>
      <c r="V20" s="209">
        <f t="shared" si="15"/>
        <v>1.4000000000000001</v>
      </c>
      <c r="W20" s="207">
        <f t="shared" si="11"/>
        <v>0.15227272727272728</v>
      </c>
      <c r="X20" s="56"/>
      <c r="Y20" s="55">
        <f t="shared" si="12"/>
        <v>0.16345381231507136</v>
      </c>
      <c r="Z20" s="210">
        <f t="shared" si="16"/>
        <v>7.1802197428460099E-2</v>
      </c>
      <c r="AA20" s="55">
        <f t="shared" si="13"/>
        <v>0.17852928139631924</v>
      </c>
    </row>
    <row r="21" spans="2:28" x14ac:dyDescent="0.2">
      <c r="B21" s="137" t="s">
        <v>67</v>
      </c>
      <c r="C21" s="137"/>
      <c r="D21" s="103">
        <v>0.3</v>
      </c>
      <c r="F21" s="136">
        <f t="shared" si="17"/>
        <v>0.99999999999999989</v>
      </c>
      <c r="G21" s="135">
        <f t="shared" si="0"/>
        <v>0</v>
      </c>
      <c r="H21" s="22">
        <f t="shared" si="1"/>
        <v>0.1</v>
      </c>
      <c r="I21" s="22">
        <f t="shared" si="2"/>
        <v>0.1</v>
      </c>
      <c r="J21" s="22">
        <f t="shared" si="3"/>
        <v>0.40000000000000008</v>
      </c>
      <c r="L21" s="215">
        <f t="shared" si="19"/>
        <v>-0.5</v>
      </c>
      <c r="M21" s="217">
        <f t="shared" si="18"/>
        <v>1.5</v>
      </c>
      <c r="N21" s="218">
        <f t="shared" si="5"/>
        <v>0.15886363636363637</v>
      </c>
      <c r="O21" s="215">
        <f t="shared" si="14"/>
        <v>0.17512908462329074</v>
      </c>
      <c r="P21" s="215"/>
      <c r="Q21" s="215">
        <f t="shared" si="6"/>
        <v>1.8939393939393812E-2</v>
      </c>
      <c r="R21" s="219">
        <f t="shared" si="7"/>
        <v>0.98106060606060619</v>
      </c>
      <c r="S21" s="220">
        <f t="shared" si="8"/>
        <v>0.15886363636363637</v>
      </c>
      <c r="T21" s="27">
        <f t="shared" si="9"/>
        <v>0.19678859681533203</v>
      </c>
      <c r="U21" s="208">
        <f t="shared" si="10"/>
        <v>2.0446797520661159E-2</v>
      </c>
      <c r="V21" s="209">
        <f t="shared" si="15"/>
        <v>1.5000000000000002</v>
      </c>
      <c r="W21" s="207">
        <f t="shared" si="11"/>
        <v>0.15886363636363637</v>
      </c>
      <c r="X21" s="56"/>
      <c r="Y21" s="55">
        <f t="shared" si="12"/>
        <v>0.17512908462329074</v>
      </c>
      <c r="Z21" s="210">
        <f t="shared" si="16"/>
        <v>8.9752746785575099E-2</v>
      </c>
      <c r="AA21" s="55">
        <f t="shared" si="13"/>
        <v>0.19678859681533198</v>
      </c>
    </row>
    <row r="22" spans="2:28" x14ac:dyDescent="0.2">
      <c r="B22" s="137" t="s">
        <v>15</v>
      </c>
      <c r="C22" s="137"/>
      <c r="D22" s="30">
        <f>D21*D17*D12</f>
        <v>6.0000000000000001E-3</v>
      </c>
      <c r="F22" s="136">
        <f t="shared" si="17"/>
        <v>1.0999999999999999</v>
      </c>
      <c r="G22" s="135">
        <f t="shared" si="0"/>
        <v>-9.9999999999999867E-2</v>
      </c>
      <c r="H22" s="22">
        <f t="shared" si="1"/>
        <v>9.4E-2</v>
      </c>
      <c r="I22" s="22">
        <f t="shared" si="2"/>
        <v>0.10573551910309043</v>
      </c>
      <c r="J22" s="22">
        <f t="shared" si="3"/>
        <v>0.32155703483945214</v>
      </c>
      <c r="L22" s="204">
        <f t="shared" si="19"/>
        <v>-0.6</v>
      </c>
      <c r="M22" s="205">
        <f t="shared" si="18"/>
        <v>1.6</v>
      </c>
      <c r="N22" s="206">
        <f t="shared" si="5"/>
        <v>0.16545454545454547</v>
      </c>
      <c r="O22" s="204">
        <f t="shared" si="14"/>
        <v>0.18680435693151015</v>
      </c>
      <c r="P22" s="204"/>
      <c r="Q22" s="204">
        <f t="shared" si="6"/>
        <v>-9.090909090909105E-2</v>
      </c>
      <c r="R22" s="55">
        <f t="shared" si="7"/>
        <v>1.0909090909090911</v>
      </c>
      <c r="S22" s="207">
        <f t="shared" si="8"/>
        <v>0.16545454545454547</v>
      </c>
      <c r="T22" s="22">
        <f t="shared" si="9"/>
        <v>0.21562900493346218</v>
      </c>
      <c r="U22" s="208">
        <f t="shared" si="10"/>
        <v>2.18099173553719E-2</v>
      </c>
      <c r="V22" s="209">
        <f t="shared" si="15"/>
        <v>1.6</v>
      </c>
      <c r="W22" s="207">
        <f t="shared" si="11"/>
        <v>0.16545454545454547</v>
      </c>
      <c r="X22" s="56"/>
      <c r="Y22" s="55">
        <f t="shared" si="12"/>
        <v>0.18680435693151015</v>
      </c>
      <c r="Z22" s="210">
        <f t="shared" si="16"/>
        <v>0.10770329614269014</v>
      </c>
      <c r="AA22" s="55">
        <f t="shared" si="13"/>
        <v>0.21562900493346218</v>
      </c>
    </row>
    <row r="23" spans="2:28" x14ac:dyDescent="0.2">
      <c r="B23" s="129"/>
      <c r="C23" s="129"/>
      <c r="F23" s="136">
        <f t="shared" si="17"/>
        <v>1.2</v>
      </c>
      <c r="G23" s="135">
        <f t="shared" si="0"/>
        <v>-0.19999999999999996</v>
      </c>
      <c r="H23" s="22">
        <f t="shared" si="1"/>
        <v>8.7999999999999995E-2</v>
      </c>
      <c r="I23" s="22">
        <f t="shared" si="2"/>
        <v>0.11454256850621085</v>
      </c>
      <c r="J23" s="22">
        <f t="shared" si="3"/>
        <v>0.2444506035193523</v>
      </c>
      <c r="L23" s="204">
        <f t="shared" si="19"/>
        <v>-0.7</v>
      </c>
      <c r="M23" s="205">
        <f t="shared" si="18"/>
        <v>1.7</v>
      </c>
      <c r="N23" s="206">
        <f t="shared" si="5"/>
        <v>0.17204545454545456</v>
      </c>
      <c r="O23" s="204">
        <f t="shared" si="14"/>
        <v>0.19847962923972953</v>
      </c>
      <c r="P23" s="204"/>
      <c r="Q23" s="204">
        <f t="shared" si="6"/>
        <v>-0.20075757575757591</v>
      </c>
      <c r="R23" s="55">
        <f t="shared" si="7"/>
        <v>1.2007575757575759</v>
      </c>
      <c r="S23" s="207">
        <f t="shared" si="8"/>
        <v>0.17204545454545456</v>
      </c>
      <c r="T23" s="22">
        <f t="shared" si="9"/>
        <v>0.23491073221977196</v>
      </c>
      <c r="U23" s="208">
        <f t="shared" si="10"/>
        <v>2.3173037190082645E-2</v>
      </c>
      <c r="V23" s="209">
        <f t="shared" si="15"/>
        <v>1.7000000000000002</v>
      </c>
      <c r="W23" s="207">
        <f t="shared" si="11"/>
        <v>0.17204545454545456</v>
      </c>
      <c r="X23" s="56"/>
      <c r="Y23" s="55">
        <f t="shared" si="12"/>
        <v>0.1984796292397295</v>
      </c>
      <c r="Z23" s="210">
        <f t="shared" si="16"/>
        <v>0.12565384549980516</v>
      </c>
      <c r="AA23" s="55">
        <f t="shared" si="13"/>
        <v>0.23491073221977193</v>
      </c>
    </row>
    <row r="24" spans="2:28" x14ac:dyDescent="0.2">
      <c r="B24" s="221" t="s">
        <v>131</v>
      </c>
      <c r="C24" s="221"/>
      <c r="D24" s="221"/>
      <c r="F24" s="136">
        <f t="shared" si="17"/>
        <v>1.3</v>
      </c>
      <c r="G24" s="135">
        <f t="shared" si="0"/>
        <v>-0.30000000000000004</v>
      </c>
      <c r="H24" s="22">
        <f t="shared" si="1"/>
        <v>8.199999999999999E-2</v>
      </c>
      <c r="I24" s="22">
        <f t="shared" si="2"/>
        <v>0.12577758146824103</v>
      </c>
      <c r="J24" s="22">
        <f t="shared" si="3"/>
        <v>0.17491193377378636</v>
      </c>
      <c r="L24" s="204">
        <f t="shared" si="19"/>
        <v>-0.79999999999999993</v>
      </c>
      <c r="M24" s="205">
        <f t="shared" si="18"/>
        <v>1.7999999999999998</v>
      </c>
      <c r="N24" s="206">
        <f t="shared" si="5"/>
        <v>0.17863636363636365</v>
      </c>
      <c r="O24" s="204">
        <f t="shared" si="14"/>
        <v>0.21015490154794889</v>
      </c>
      <c r="P24" s="204"/>
      <c r="Q24" s="204">
        <f t="shared" si="6"/>
        <v>-0.31060606060606077</v>
      </c>
      <c r="R24" s="55">
        <f t="shared" si="7"/>
        <v>1.3106060606060608</v>
      </c>
      <c r="S24" s="207">
        <f t="shared" si="8"/>
        <v>0.17863636363636365</v>
      </c>
      <c r="T24" s="22">
        <f t="shared" si="9"/>
        <v>0.25453350440924344</v>
      </c>
      <c r="U24" s="208">
        <f t="shared" si="10"/>
        <v>2.4536157024793389E-2</v>
      </c>
      <c r="V24" s="209">
        <f t="shared" si="15"/>
        <v>1.8</v>
      </c>
      <c r="W24" s="207">
        <f t="shared" si="11"/>
        <v>0.17863636363636365</v>
      </c>
      <c r="X24" s="56"/>
      <c r="Y24" s="55">
        <f t="shared" si="12"/>
        <v>0.21015490154794889</v>
      </c>
      <c r="Z24" s="210">
        <f t="shared" si="16"/>
        <v>0.14360439485692017</v>
      </c>
      <c r="AA24" s="55">
        <f t="shared" si="13"/>
        <v>0.25453350440924338</v>
      </c>
    </row>
    <row r="25" spans="2:28" x14ac:dyDescent="0.2">
      <c r="B25" s="129" t="s">
        <v>10</v>
      </c>
      <c r="C25" s="129"/>
      <c r="D25" s="214">
        <f>H39</f>
        <v>0.12590909090909091</v>
      </c>
      <c r="F25" s="136">
        <f t="shared" si="17"/>
        <v>1.4000000000000001</v>
      </c>
      <c r="G25" s="135">
        <f t="shared" si="0"/>
        <v>-0.40000000000000013</v>
      </c>
      <c r="H25" s="22">
        <f t="shared" si="1"/>
        <v>7.5999999999999984E-2</v>
      </c>
      <c r="I25" s="22">
        <f t="shared" si="2"/>
        <v>0.13885243966167829</v>
      </c>
      <c r="J25" s="22">
        <f t="shared" si="3"/>
        <v>0.11523024038313535</v>
      </c>
      <c r="L25" s="204">
        <f t="shared" si="19"/>
        <v>-0.89999999999999991</v>
      </c>
      <c r="M25" s="205">
        <f t="shared" si="18"/>
        <v>1.9</v>
      </c>
      <c r="N25" s="206">
        <f t="shared" si="5"/>
        <v>0.18522727272727274</v>
      </c>
      <c r="O25" s="204">
        <f t="shared" si="14"/>
        <v>0.22183017385616829</v>
      </c>
      <c r="P25" s="204"/>
      <c r="Q25" s="204">
        <f t="shared" si="6"/>
        <v>-0.42045454545454564</v>
      </c>
      <c r="R25" s="55">
        <f t="shared" si="7"/>
        <v>1.4204545454545456</v>
      </c>
      <c r="S25" s="207">
        <f t="shared" si="8"/>
        <v>0.18522727272727274</v>
      </c>
      <c r="T25" s="22">
        <f t="shared" si="9"/>
        <v>0.27442417173612438</v>
      </c>
      <c r="U25" s="208">
        <f t="shared" si="10"/>
        <v>2.5899276859504133E-2</v>
      </c>
      <c r="V25" s="209">
        <f t="shared" si="15"/>
        <v>1.9000000000000001</v>
      </c>
      <c r="W25" s="207">
        <f t="shared" si="11"/>
        <v>0.18522727272727274</v>
      </c>
      <c r="X25" s="56"/>
      <c r="Y25" s="55">
        <f t="shared" si="12"/>
        <v>0.22183017385616829</v>
      </c>
      <c r="Z25" s="210">
        <f t="shared" si="16"/>
        <v>0.16155494421403521</v>
      </c>
      <c r="AA25" s="55">
        <f>SQRT(Y25^2+Z25^2)</f>
        <v>0.27442417173612438</v>
      </c>
    </row>
    <row r="26" spans="2:28" x14ac:dyDescent="0.2">
      <c r="B26" s="129" t="s">
        <v>11</v>
      </c>
      <c r="C26" s="129"/>
      <c r="D26" s="214">
        <f>I39</f>
        <v>0.11675272308219384</v>
      </c>
      <c r="F26" s="136">
        <f t="shared" si="17"/>
        <v>1.5000000000000002</v>
      </c>
      <c r="G26" s="135">
        <f t="shared" si="0"/>
        <v>-0.50000000000000022</v>
      </c>
      <c r="H26" s="22">
        <f t="shared" si="1"/>
        <v>6.9999999999999979E-2</v>
      </c>
      <c r="I26" s="22">
        <f t="shared" si="2"/>
        <v>0.15329709716755896</v>
      </c>
      <c r="J26" s="22">
        <f t="shared" si="3"/>
        <v>6.5232807305344073E-2</v>
      </c>
      <c r="L26" s="204">
        <f t="shared" si="19"/>
        <v>-0.99999999999999989</v>
      </c>
      <c r="M26" s="205">
        <f t="shared" si="18"/>
        <v>2</v>
      </c>
      <c r="N26" s="206">
        <f t="shared" si="5"/>
        <v>0.19181818181818183</v>
      </c>
      <c r="O26" s="204">
        <f t="shared" si="14"/>
        <v>0.23350544616438768</v>
      </c>
      <c r="P26" s="204"/>
      <c r="Q26" s="204">
        <f t="shared" si="6"/>
        <v>-0.5303030303030305</v>
      </c>
      <c r="R26" s="55">
        <f t="shared" si="7"/>
        <v>1.5303030303030305</v>
      </c>
      <c r="S26" s="207">
        <f t="shared" si="8"/>
        <v>0.19181818181818183</v>
      </c>
      <c r="T26" s="22">
        <f t="shared" si="9"/>
        <v>0.29452846315874465</v>
      </c>
      <c r="U26" s="208">
        <f t="shared" si="10"/>
        <v>2.7262396694214874E-2</v>
      </c>
      <c r="V26" s="209">
        <f t="shared" si="15"/>
        <v>2</v>
      </c>
      <c r="W26" s="207">
        <f t="shared" si="11"/>
        <v>0.19181818181818183</v>
      </c>
      <c r="X26" s="56"/>
      <c r="Y26" s="55">
        <f t="shared" si="12"/>
        <v>0.23350544616438768</v>
      </c>
      <c r="Z26" s="210">
        <f t="shared" si="16"/>
        <v>0.1795054935711502</v>
      </c>
      <c r="AA26" s="55">
        <f>SQRT(Y26^2+Z26^2)</f>
        <v>0.29452846315874459</v>
      </c>
    </row>
    <row r="27" spans="2:28" x14ac:dyDescent="0.2">
      <c r="B27" s="129"/>
      <c r="C27" s="129"/>
      <c r="F27" s="136">
        <f t="shared" si="17"/>
        <v>1.6000000000000003</v>
      </c>
      <c r="G27" s="135">
        <f t="shared" si="0"/>
        <v>-0.60000000000000031</v>
      </c>
      <c r="H27" s="22">
        <f t="shared" si="1"/>
        <v>6.3999999999999974E-2</v>
      </c>
      <c r="I27" s="22">
        <f t="shared" si="2"/>
        <v>0.16876018487783198</v>
      </c>
      <c r="J27" s="22">
        <f t="shared" si="3"/>
        <v>2.3702273156998705E-2</v>
      </c>
    </row>
    <row r="29" spans="2:28" x14ac:dyDescent="0.2">
      <c r="F29" s="222"/>
      <c r="G29" s="222"/>
      <c r="H29" s="222"/>
      <c r="I29" s="222"/>
      <c r="J29" s="222"/>
      <c r="K29" s="222"/>
      <c r="L29" s="222"/>
      <c r="M29" s="223">
        <v>1.6</v>
      </c>
      <c r="N29" s="224">
        <f>VLOOKUP($M29,$M$6:$O$26,2)</f>
        <v>0.16545454545454547</v>
      </c>
      <c r="O29" s="224">
        <f>VLOOKUP($M29,$M$6:$O$26,3)</f>
        <v>0.18680435693151015</v>
      </c>
      <c r="P29" s="222"/>
      <c r="Q29" s="222"/>
      <c r="R29" s="222"/>
      <c r="S29" s="224">
        <f>VLOOKUP($M29,$M$6:$T$26,7)</f>
        <v>0.16545454545454547</v>
      </c>
      <c r="T29" s="224">
        <f>VLOOKUP($M29,$M$6:$T$26,8)</f>
        <v>0.21562900493346218</v>
      </c>
      <c r="U29" s="222"/>
      <c r="V29" s="225">
        <f>VLOOKUP($M29,$M$6:$W$26,10)</f>
        <v>1.6</v>
      </c>
      <c r="W29" s="224">
        <f>VLOOKUP($M29,$M$6:$W$26,11)</f>
        <v>0.16545454545454547</v>
      </c>
      <c r="X29" s="222"/>
      <c r="Y29" s="222"/>
      <c r="Z29" s="226" t="s">
        <v>26</v>
      </c>
      <c r="AA29" s="227">
        <f>M29</f>
        <v>1.6</v>
      </c>
    </row>
    <row r="30" spans="2:28" x14ac:dyDescent="0.2">
      <c r="N30" s="228">
        <f>$N$29</f>
        <v>0.16545454545454547</v>
      </c>
      <c r="O30" s="228">
        <v>0.05</v>
      </c>
      <c r="V30" s="229">
        <v>0</v>
      </c>
      <c r="W30" s="228">
        <f>$W$29</f>
        <v>0.16545454545454547</v>
      </c>
      <c r="Z30" s="226" t="s">
        <v>128</v>
      </c>
      <c r="AA30" s="227">
        <f>VLOOKUP($M29,$M$6:$AA$26,13)</f>
        <v>0.18680435693151015</v>
      </c>
    </row>
    <row r="31" spans="2:28" x14ac:dyDescent="0.2">
      <c r="N31" s="210">
        <f>$N$29</f>
        <v>0.16545454545454547</v>
      </c>
      <c r="O31" s="210">
        <v>0.25</v>
      </c>
      <c r="V31" s="230">
        <v>1.8</v>
      </c>
      <c r="W31" s="210">
        <f>$W$29</f>
        <v>0.16545454545454547</v>
      </c>
      <c r="Z31" s="226" t="s">
        <v>132</v>
      </c>
      <c r="AA31" s="231">
        <f>VLOOKUP($M29,$M$6:$AA$26,14)</f>
        <v>0.10770329614269014</v>
      </c>
    </row>
    <row r="32" spans="2:28" x14ac:dyDescent="0.2">
      <c r="Z32" s="226" t="s">
        <v>130</v>
      </c>
      <c r="AA32" s="231">
        <f>VLOOKUP($M29,$M$6:$AA$26,15)</f>
        <v>0.21562900493346218</v>
      </c>
    </row>
    <row r="33" spans="2:10" x14ac:dyDescent="0.2">
      <c r="B33" s="134"/>
      <c r="C33" s="134"/>
      <c r="D33" s="133"/>
      <c r="F33" s="36" t="s">
        <v>70</v>
      </c>
      <c r="G33" s="4"/>
      <c r="H33" s="4"/>
      <c r="I33" s="4"/>
      <c r="J33" s="4"/>
    </row>
    <row r="34" spans="2:10" x14ac:dyDescent="0.2">
      <c r="B34" s="134"/>
      <c r="C34" s="134"/>
      <c r="D34" s="133"/>
      <c r="F34" s="66">
        <f>F35-1%</f>
        <v>0.88473684210526327</v>
      </c>
      <c r="G34" s="67">
        <f>1-F34</f>
        <v>0.11526315789473673</v>
      </c>
      <c r="H34" s="67">
        <f>F34*$D$11+(1-F34)*$D$16</f>
        <v>0.10691578947368421</v>
      </c>
      <c r="I34" s="68">
        <f>SQRT(F34^2*$D$13+(1-F34)^2*$D$18+2*F34*(1-F34)*$D$22)</f>
        <v>9.7891508152755796E-2</v>
      </c>
      <c r="J34" s="67">
        <f>(H34-rf)/I34</f>
        <v>0.47926311851763481</v>
      </c>
    </row>
    <row r="35" spans="2:10" x14ac:dyDescent="0.2">
      <c r="B35" s="134"/>
      <c r="C35" s="134"/>
      <c r="D35" s="133"/>
      <c r="E35" s="132" t="s">
        <v>76</v>
      </c>
      <c r="F35" s="70">
        <f>(D18-(D21*D12*D17))/(D13+D18-(2*D21*D12*D17))</f>
        <v>0.89473684210526327</v>
      </c>
      <c r="G35" s="22">
        <f>1-F35</f>
        <v>0.10526315789473673</v>
      </c>
      <c r="H35" s="22">
        <f>F35*$D$11+(1-F35)*$D$16</f>
        <v>0.10631578947368421</v>
      </c>
      <c r="I35" s="69">
        <f>SQRT(F35^2*$D$13+(1-F35)^2*$D$18+2*F35*(1-F35)*$D$22)</f>
        <v>9.7872096985918589E-2</v>
      </c>
      <c r="J35" s="22">
        <f>(H35-rf)/I35</f>
        <v>0.47322772169015576</v>
      </c>
    </row>
    <row r="36" spans="2:10" x14ac:dyDescent="0.2">
      <c r="B36" s="134"/>
      <c r="C36" s="134"/>
      <c r="D36" s="133"/>
      <c r="E36" s="132" t="s">
        <v>77</v>
      </c>
      <c r="F36" s="66">
        <f>F35+1%</f>
        <v>0.90473684210526328</v>
      </c>
      <c r="G36" s="67">
        <f>1-F36</f>
        <v>9.5263157894736716E-2</v>
      </c>
      <c r="H36" s="67">
        <f>F36*$D$11+(1-F36)*$D$16</f>
        <v>0.10571578947368421</v>
      </c>
      <c r="I36" s="68">
        <f>SQRT(F36^2*$D$13+(1-F36)^2*$D$18+2*F36*(1-F36)*$D$22)</f>
        <v>9.7891508152755796E-2</v>
      </c>
      <c r="J36" s="67">
        <f>(H36-rf)/I36</f>
        <v>0.4670046497020614</v>
      </c>
    </row>
    <row r="37" spans="2:10" x14ac:dyDescent="0.2">
      <c r="D37" s="35"/>
      <c r="E37" s="132" t="s">
        <v>78</v>
      </c>
      <c r="F37" s="36" t="s">
        <v>71</v>
      </c>
      <c r="G37" s="4"/>
      <c r="H37" s="4"/>
      <c r="I37" s="4"/>
      <c r="J37" s="4"/>
    </row>
    <row r="38" spans="2:10" x14ac:dyDescent="0.2">
      <c r="F38" s="66">
        <f>F39-1%</f>
        <v>0.55818181818181833</v>
      </c>
      <c r="G38" s="67">
        <f>1-F38</f>
        <v>0.44181818181818167</v>
      </c>
      <c r="H38" s="67">
        <f>F38*$D$11+(1-F38)*$D$16</f>
        <v>0.1265090909090909</v>
      </c>
      <c r="I38" s="67">
        <f>SQRT(F38^2*$D$13+(1-F38)^2*$D$18+2*F38*(1-F38)*$D$22)</f>
        <v>0.11782690764544936</v>
      </c>
      <c r="J38" s="68">
        <f>(H38-rf)/I38</f>
        <v>0.56446436758929563</v>
      </c>
    </row>
    <row r="39" spans="2:10" x14ac:dyDescent="0.2">
      <c r="F39" s="232">
        <f>sigma_b*(r_b*rho_ab*sigma_a-rf*rho_ab*sigma_a-r_a*sigma_b+rf*sigma_b)/(-r_b*sigma_a^2+rf*sigma_a^2+r_a*rho_ab*sigma_a*sigma_b+r_b*rho_ab*sigma_a*sigma_b-2*rf*rho_ab*sigma_a*sigma_b-r_a*sigma_b^2+rf*sigma_b^2)</f>
        <v>0.56818181818181834</v>
      </c>
      <c r="G39" s="22">
        <f>1-F39</f>
        <v>0.43181818181818166</v>
      </c>
      <c r="H39" s="22">
        <f>F39*$D$11+(1-F39)*$D$16</f>
        <v>0.12590909090909091</v>
      </c>
      <c r="I39" s="22">
        <f>SQRT(F39^2*$D$13+(1-F39)^2*$D$18+2*F39*(1-F39)*$D$22)</f>
        <v>0.11675272308219384</v>
      </c>
      <c r="J39" s="69">
        <f>(H39-rf)/I39</f>
        <v>0.56451866105676152</v>
      </c>
    </row>
    <row r="40" spans="2:10" x14ac:dyDescent="0.2">
      <c r="F40" s="66">
        <f>F39+1%</f>
        <v>0.57818181818181835</v>
      </c>
      <c r="G40" s="67">
        <f>1-F40</f>
        <v>0.42181818181818165</v>
      </c>
      <c r="H40" s="67">
        <f>F40*$D$11+(1-F40)*$D$16</f>
        <v>0.1253090909090909</v>
      </c>
      <c r="I40" s="67">
        <f>SQRT(F40^2*$D$13+(1-F40)^2*$D$18+2*F40*(1-F40)*$D$22)</f>
        <v>0.11570141109306151</v>
      </c>
      <c r="J40" s="68">
        <f>(H40-rf)/I40</f>
        <v>0.564462354366285</v>
      </c>
    </row>
    <row r="41" spans="2:10" x14ac:dyDescent="0.2">
      <c r="F41" s="129" t="s">
        <v>41</v>
      </c>
    </row>
    <row r="42" spans="2:10" x14ac:dyDescent="0.2">
      <c r="F42" s="65" t="s">
        <v>40</v>
      </c>
      <c r="G42" s="65"/>
      <c r="H42" s="65"/>
    </row>
  </sheetData>
  <hyperlinks>
    <hyperlink ref="F42" r:id="rId1" location="post-45560" xr:uid="{CCC2F2D3-D8ED-4403-8630-DFC471AC8D28}"/>
    <hyperlink ref="C2" r:id="rId2" xr:uid="{610D8FD6-8999-4BE4-A0E2-3021235906B1}"/>
  </hyperlinks>
  <printOptions headings="1" gridLines="1"/>
  <pageMargins left="0.75" right="0.75" top="1" bottom="1" header="0.5" footer="0.5"/>
  <pageSetup orientation="portrait" r:id="rId3"/>
  <headerFooter alignWithMargins="0"/>
  <drawing r:id="rId4"/>
  <legacy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H8" sqref="H8"/>
    </sheetView>
  </sheetViews>
  <sheetFormatPr defaultRowHeight="12.75" x14ac:dyDescent="0.2"/>
  <sheetData>
    <row r="1" spans="1:1" x14ac:dyDescent="0.2">
      <c r="A1" s="105" t="s">
        <v>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99D80-37F4-44D4-915E-FE89C81F948A}">
  <dimension ref="B2:R38"/>
  <sheetViews>
    <sheetView showGridLines="0" zoomScaleNormal="100" workbookViewId="0">
      <selection activeCell="S32" sqref="S32"/>
    </sheetView>
  </sheetViews>
  <sheetFormatPr defaultColWidth="9.140625" defaultRowHeight="12.75" x14ac:dyDescent="0.2"/>
  <cols>
    <col min="1" max="1" width="1.7109375" style="129" customWidth="1"/>
    <col min="2" max="2" width="3.7109375" style="130" customWidth="1"/>
    <col min="3" max="3" width="17.28515625" style="130" customWidth="1"/>
    <col min="4" max="4" width="9" style="129" customWidth="1"/>
    <col min="5" max="11" width="9.7109375" style="129" customWidth="1"/>
    <col min="12" max="16384" width="9.140625" style="129"/>
  </cols>
  <sheetData>
    <row r="2" spans="2:12" s="63" customFormat="1" x14ac:dyDescent="0.2">
      <c r="B2" s="61" t="s">
        <v>69</v>
      </c>
      <c r="C2" s="62"/>
    </row>
    <row r="3" spans="2:12" x14ac:dyDescent="0.2">
      <c r="B3" s="2" t="s">
        <v>73</v>
      </c>
      <c r="C3" s="3"/>
      <c r="D3" s="4"/>
      <c r="E3" s="4"/>
      <c r="F3" s="109"/>
      <c r="G3" s="109"/>
      <c r="H3" s="110" t="s">
        <v>2</v>
      </c>
      <c r="I3" s="110"/>
      <c r="J3" s="146" t="s">
        <v>19</v>
      </c>
    </row>
    <row r="4" spans="2:12" x14ac:dyDescent="0.2">
      <c r="B4" s="2" t="s">
        <v>74</v>
      </c>
      <c r="C4" s="3"/>
      <c r="D4" s="4"/>
      <c r="E4" s="4"/>
      <c r="F4" s="112" t="s">
        <v>3</v>
      </c>
      <c r="G4" s="113" t="s">
        <v>3</v>
      </c>
      <c r="H4" s="114" t="s">
        <v>4</v>
      </c>
      <c r="I4" s="114" t="s">
        <v>5</v>
      </c>
      <c r="J4" s="114" t="s">
        <v>20</v>
      </c>
    </row>
    <row r="5" spans="2:12" x14ac:dyDescent="0.2">
      <c r="B5" s="2" t="s">
        <v>75</v>
      </c>
      <c r="C5" s="3"/>
      <c r="D5" s="4"/>
      <c r="E5" s="4"/>
      <c r="F5" s="115" t="s">
        <v>6</v>
      </c>
      <c r="G5" s="116" t="s">
        <v>7</v>
      </c>
      <c r="H5" s="117" t="s">
        <v>8</v>
      </c>
      <c r="I5" s="117" t="s">
        <v>9</v>
      </c>
      <c r="J5" s="117" t="s">
        <v>21</v>
      </c>
    </row>
    <row r="6" spans="2:12" x14ac:dyDescent="0.2">
      <c r="B6" s="99" t="s">
        <v>0</v>
      </c>
      <c r="C6" s="99"/>
      <c r="D6" s="100"/>
      <c r="E6" s="100"/>
      <c r="F6" s="145">
        <v>-0.5</v>
      </c>
      <c r="G6" s="135">
        <f t="shared" ref="G6:G27" si="0">1-F6</f>
        <v>1.5</v>
      </c>
      <c r="H6" s="22">
        <f t="shared" ref="H6:H27" si="1">F6*$D$11+(1-F6)*$D$16</f>
        <v>0.18499999999999997</v>
      </c>
      <c r="I6" s="22">
        <f t="shared" ref="I6:I27" si="2">SQRT(F6^2*$D$13+(1-F6)^2*$D$18+2*F6*(1-F6)*$D$22)</f>
        <v>0.3229163978493505</v>
      </c>
      <c r="J6" s="22">
        <f t="shared" ref="J6:J27" si="3">(H6-rf)/I6</f>
        <v>0.38709709643892398</v>
      </c>
    </row>
    <row r="7" spans="2:12" x14ac:dyDescent="0.2">
      <c r="F7" s="136">
        <f t="shared" ref="F7:F27" si="4">F6+10%</f>
        <v>-0.4</v>
      </c>
      <c r="G7" s="135">
        <f t="shared" si="0"/>
        <v>1.4</v>
      </c>
      <c r="H7" s="22">
        <f t="shared" si="1"/>
        <v>0.17799999999999999</v>
      </c>
      <c r="I7" s="22">
        <f t="shared" si="2"/>
        <v>0.30398026251715748</v>
      </c>
      <c r="J7" s="22">
        <f t="shared" si="3"/>
        <v>0.38818309788563904</v>
      </c>
    </row>
    <row r="8" spans="2:12" x14ac:dyDescent="0.2">
      <c r="C8" s="144" t="s">
        <v>1</v>
      </c>
      <c r="D8" s="101">
        <v>0.04</v>
      </c>
      <c r="F8" s="136">
        <f t="shared" si="4"/>
        <v>-0.30000000000000004</v>
      </c>
      <c r="G8" s="135">
        <f t="shared" si="0"/>
        <v>1.3</v>
      </c>
      <c r="H8" s="22">
        <f t="shared" si="1"/>
        <v>0.17100000000000001</v>
      </c>
      <c r="I8" s="22">
        <f t="shared" si="2"/>
        <v>0.28518590427999768</v>
      </c>
      <c r="J8" s="22">
        <f t="shared" si="3"/>
        <v>0.38921979780255678</v>
      </c>
    </row>
    <row r="9" spans="2:12" x14ac:dyDescent="0.2">
      <c r="F9" s="136">
        <f t="shared" si="4"/>
        <v>-0.20000000000000004</v>
      </c>
      <c r="G9" s="135">
        <f t="shared" si="0"/>
        <v>1.2</v>
      </c>
      <c r="H9" s="22">
        <f t="shared" si="1"/>
        <v>0.16399999999999998</v>
      </c>
      <c r="I9" s="22">
        <f t="shared" si="2"/>
        <v>0.2665633133047382</v>
      </c>
      <c r="J9" s="22">
        <f t="shared" si="3"/>
        <v>0.39015121289817556</v>
      </c>
    </row>
    <row r="10" spans="2:12" x14ac:dyDescent="0.2">
      <c r="B10" s="143" t="s">
        <v>6</v>
      </c>
      <c r="C10" s="142"/>
      <c r="D10" s="138"/>
      <c r="F10" s="136">
        <f t="shared" si="4"/>
        <v>-0.10000000000000003</v>
      </c>
      <c r="G10" s="135">
        <f t="shared" si="0"/>
        <v>1.1000000000000001</v>
      </c>
      <c r="H10" s="22">
        <f t="shared" si="1"/>
        <v>0.157</v>
      </c>
      <c r="I10" s="22">
        <f t="shared" si="2"/>
        <v>0.24815116360799119</v>
      </c>
      <c r="J10" s="22">
        <f t="shared" si="3"/>
        <v>0.39089077234081654</v>
      </c>
    </row>
    <row r="11" spans="2:12" x14ac:dyDescent="0.2">
      <c r="B11" s="137" t="s">
        <v>10</v>
      </c>
      <c r="C11" s="137"/>
      <c r="D11" s="101">
        <v>0.08</v>
      </c>
      <c r="F11" s="136">
        <f t="shared" si="4"/>
        <v>0</v>
      </c>
      <c r="G11" s="135">
        <f t="shared" si="0"/>
        <v>1</v>
      </c>
      <c r="H11" s="22">
        <f t="shared" si="1"/>
        <v>0.15</v>
      </c>
      <c r="I11" s="22">
        <f t="shared" si="2"/>
        <v>0.23</v>
      </c>
      <c r="J11" s="22">
        <f t="shared" si="3"/>
        <v>0.39130434782608692</v>
      </c>
      <c r="L11" s="141"/>
    </row>
    <row r="12" spans="2:12" x14ac:dyDescent="0.2">
      <c r="B12" s="137" t="s">
        <v>11</v>
      </c>
      <c r="C12" s="137"/>
      <c r="D12" s="101">
        <v>0.1</v>
      </c>
      <c r="F12" s="136">
        <f t="shared" si="4"/>
        <v>0.1</v>
      </c>
      <c r="G12" s="135">
        <f t="shared" si="0"/>
        <v>0.9</v>
      </c>
      <c r="H12" s="22">
        <f t="shared" si="1"/>
        <v>0.14300000000000002</v>
      </c>
      <c r="I12" s="22">
        <f t="shared" si="2"/>
        <v>0.21217681305929734</v>
      </c>
      <c r="J12" s="22">
        <f t="shared" si="3"/>
        <v>0.39118317785649792</v>
      </c>
    </row>
    <row r="13" spans="2:12" x14ac:dyDescent="0.2">
      <c r="B13" s="130" t="s">
        <v>12</v>
      </c>
      <c r="D13" s="24">
        <f>D12^2</f>
        <v>1.0000000000000002E-2</v>
      </c>
      <c r="F13" s="136">
        <f t="shared" si="4"/>
        <v>0.2</v>
      </c>
      <c r="G13" s="135">
        <f t="shared" si="0"/>
        <v>0.8</v>
      </c>
      <c r="H13" s="22">
        <f t="shared" si="1"/>
        <v>0.13600000000000001</v>
      </c>
      <c r="I13" s="22">
        <f t="shared" si="2"/>
        <v>0.19477166118303765</v>
      </c>
      <c r="J13" s="22">
        <f t="shared" si="3"/>
        <v>0.39020050215918539</v>
      </c>
    </row>
    <row r="14" spans="2:12" x14ac:dyDescent="0.2">
      <c r="F14" s="136">
        <f t="shared" si="4"/>
        <v>0.30000000000000004</v>
      </c>
      <c r="G14" s="135">
        <f t="shared" si="0"/>
        <v>0.7</v>
      </c>
      <c r="H14" s="22">
        <f t="shared" si="1"/>
        <v>0.129</v>
      </c>
      <c r="I14" s="22">
        <f t="shared" si="2"/>
        <v>0.17790727922150909</v>
      </c>
      <c r="J14" s="22">
        <f t="shared" si="3"/>
        <v>0.38784247784538017</v>
      </c>
    </row>
    <row r="15" spans="2:12" x14ac:dyDescent="0.2">
      <c r="B15" s="140" t="s">
        <v>7</v>
      </c>
      <c r="C15" s="139"/>
      <c r="D15" s="138"/>
      <c r="F15" s="136">
        <f t="shared" si="4"/>
        <v>0.4</v>
      </c>
      <c r="G15" s="135">
        <f t="shared" si="0"/>
        <v>0.6</v>
      </c>
      <c r="H15" s="22">
        <f t="shared" si="1"/>
        <v>0.122</v>
      </c>
      <c r="I15" s="22">
        <f t="shared" si="2"/>
        <v>0.161752897964766</v>
      </c>
      <c r="J15" s="22">
        <f t="shared" si="3"/>
        <v>0.38330070607764455</v>
      </c>
    </row>
    <row r="16" spans="2:12" x14ac:dyDescent="0.2">
      <c r="B16" s="137" t="s">
        <v>10</v>
      </c>
      <c r="C16" s="137"/>
      <c r="D16" s="101">
        <v>0.15</v>
      </c>
      <c r="F16" s="136">
        <f t="shared" si="4"/>
        <v>0.5</v>
      </c>
      <c r="G16" s="135">
        <f t="shared" si="0"/>
        <v>0.5</v>
      </c>
      <c r="H16" s="22">
        <f t="shared" si="1"/>
        <v>0.11499999999999999</v>
      </c>
      <c r="I16" s="22">
        <f t="shared" si="2"/>
        <v>0.14654350889752846</v>
      </c>
      <c r="J16" s="22">
        <f t="shared" si="3"/>
        <v>0.37531515666421716</v>
      </c>
    </row>
    <row r="17" spans="2:13" x14ac:dyDescent="0.2">
      <c r="B17" s="137" t="s">
        <v>11</v>
      </c>
      <c r="C17" s="137"/>
      <c r="D17" s="101">
        <v>0.23</v>
      </c>
      <c r="F17" s="136">
        <f t="shared" si="4"/>
        <v>0.6</v>
      </c>
      <c r="G17" s="135">
        <f t="shared" si="0"/>
        <v>0.4</v>
      </c>
      <c r="H17" s="22">
        <f t="shared" si="1"/>
        <v>0.108</v>
      </c>
      <c r="I17" s="22">
        <f t="shared" si="2"/>
        <v>0.13260467563400621</v>
      </c>
      <c r="J17" s="22">
        <f t="shared" si="3"/>
        <v>0.36197818644405699</v>
      </c>
    </row>
    <row r="18" spans="2:13" x14ac:dyDescent="0.2">
      <c r="B18" s="130" t="s">
        <v>12</v>
      </c>
      <c r="D18" s="29">
        <f>D17^2</f>
        <v>5.2900000000000003E-2</v>
      </c>
      <c r="F18" s="136">
        <f t="shared" si="4"/>
        <v>0.7</v>
      </c>
      <c r="G18" s="135">
        <f t="shared" si="0"/>
        <v>0.30000000000000004</v>
      </c>
      <c r="H18" s="22">
        <f t="shared" si="1"/>
        <v>0.10100000000000001</v>
      </c>
      <c r="I18" s="22">
        <f t="shared" si="2"/>
        <v>0.12037856952132303</v>
      </c>
      <c r="J18" s="22">
        <f t="shared" si="3"/>
        <v>0.34059218483018733</v>
      </c>
    </row>
    <row r="19" spans="2:13" x14ac:dyDescent="0.2">
      <c r="F19" s="136">
        <f t="shared" si="4"/>
        <v>0.79999999999999993</v>
      </c>
      <c r="G19" s="135">
        <f t="shared" si="0"/>
        <v>0.20000000000000007</v>
      </c>
      <c r="H19" s="22">
        <f t="shared" si="1"/>
        <v>9.4000000000000014E-2</v>
      </c>
      <c r="I19" s="22">
        <f t="shared" si="2"/>
        <v>0.1104355015382282</v>
      </c>
      <c r="J19" s="22">
        <f t="shared" si="3"/>
        <v>0.30787201150375199</v>
      </c>
    </row>
    <row r="20" spans="2:13" x14ac:dyDescent="0.2">
      <c r="B20" s="140" t="s">
        <v>68</v>
      </c>
      <c r="C20" s="139"/>
      <c r="D20" s="138"/>
      <c r="F20" s="136">
        <f t="shared" si="4"/>
        <v>0.89999999999999991</v>
      </c>
      <c r="G20" s="135">
        <f t="shared" si="0"/>
        <v>0.10000000000000009</v>
      </c>
      <c r="H20" s="22">
        <f t="shared" si="1"/>
        <v>8.7000000000000008E-2</v>
      </c>
      <c r="I20" s="22">
        <f t="shared" si="2"/>
        <v>0.10343597053249901</v>
      </c>
      <c r="J20" s="22">
        <f t="shared" si="3"/>
        <v>0.26103105003995453</v>
      </c>
    </row>
    <row r="21" spans="2:13" x14ac:dyDescent="0.2">
      <c r="B21" s="137" t="s">
        <v>67</v>
      </c>
      <c r="C21" s="137"/>
      <c r="D21" s="103">
        <v>0.5</v>
      </c>
      <c r="F21" s="136">
        <f t="shared" si="4"/>
        <v>0.99999999999999989</v>
      </c>
      <c r="G21" s="135">
        <f t="shared" si="0"/>
        <v>0</v>
      </c>
      <c r="H21" s="22">
        <f t="shared" si="1"/>
        <v>0.08</v>
      </c>
      <c r="I21" s="22">
        <f t="shared" si="2"/>
        <v>0.1</v>
      </c>
      <c r="J21" s="22">
        <f t="shared" si="3"/>
        <v>0.20000000000000004</v>
      </c>
    </row>
    <row r="22" spans="2:13" x14ac:dyDescent="0.2">
      <c r="B22" s="137" t="s">
        <v>15</v>
      </c>
      <c r="C22" s="137"/>
      <c r="D22" s="30">
        <f>D21*D17*D12</f>
        <v>1.1500000000000002E-2</v>
      </c>
      <c r="F22" s="136">
        <f t="shared" si="4"/>
        <v>1.0999999999999999</v>
      </c>
      <c r="G22" s="135">
        <f t="shared" si="0"/>
        <v>-9.9999999999999867E-2</v>
      </c>
      <c r="H22" s="22">
        <f t="shared" si="1"/>
        <v>7.3000000000000009E-2</v>
      </c>
      <c r="I22" s="22">
        <f t="shared" si="2"/>
        <v>0.10049378090210359</v>
      </c>
      <c r="J22" s="22">
        <f t="shared" si="3"/>
        <v>0.12936123890755002</v>
      </c>
    </row>
    <row r="23" spans="2:13" x14ac:dyDescent="0.2">
      <c r="B23" s="129"/>
      <c r="C23" s="129"/>
      <c r="F23" s="136">
        <f t="shared" si="4"/>
        <v>1.2</v>
      </c>
      <c r="G23" s="135">
        <f t="shared" si="0"/>
        <v>-0.19999999999999996</v>
      </c>
      <c r="H23" s="22">
        <f t="shared" si="1"/>
        <v>6.6000000000000003E-2</v>
      </c>
      <c r="I23" s="22">
        <f t="shared" si="2"/>
        <v>0.10486181383134666</v>
      </c>
      <c r="J23" s="22">
        <f t="shared" si="3"/>
        <v>5.721815960240817E-2</v>
      </c>
    </row>
    <row r="24" spans="2:13" x14ac:dyDescent="0.2">
      <c r="B24" s="129"/>
      <c r="C24" s="129"/>
      <c r="F24" s="136">
        <f t="shared" si="4"/>
        <v>1.3</v>
      </c>
      <c r="G24" s="135">
        <f t="shared" si="0"/>
        <v>-0.30000000000000004</v>
      </c>
      <c r="H24" s="22">
        <f t="shared" si="1"/>
        <v>5.9000000000000004E-2</v>
      </c>
      <c r="I24" s="22">
        <f t="shared" si="2"/>
        <v>0.11265433857601759</v>
      </c>
      <c r="J24" s="22">
        <f t="shared" si="3"/>
        <v>-8.8767109428742313E-3</v>
      </c>
    </row>
    <row r="25" spans="2:13" x14ac:dyDescent="0.2">
      <c r="B25" s="129"/>
      <c r="C25" s="129"/>
      <c r="F25" s="136">
        <f t="shared" si="4"/>
        <v>1.4000000000000001</v>
      </c>
      <c r="G25" s="135">
        <f t="shared" si="0"/>
        <v>-0.40000000000000013</v>
      </c>
      <c r="H25" s="22">
        <f t="shared" si="1"/>
        <v>5.1999999999999998E-2</v>
      </c>
      <c r="I25" s="22">
        <f t="shared" si="2"/>
        <v>0.12322337440599493</v>
      </c>
      <c r="J25" s="22">
        <f t="shared" si="3"/>
        <v>-6.4922747316119536E-2</v>
      </c>
    </row>
    <row r="26" spans="2:13" x14ac:dyDescent="0.2">
      <c r="B26" s="129"/>
      <c r="C26" s="129"/>
      <c r="F26" s="136">
        <f t="shared" si="4"/>
        <v>1.5000000000000002</v>
      </c>
      <c r="G26" s="135">
        <f t="shared" si="0"/>
        <v>-0.50000000000000022</v>
      </c>
      <c r="H26" s="22">
        <f t="shared" si="1"/>
        <v>4.4999999999999998E-2</v>
      </c>
      <c r="I26" s="22">
        <f t="shared" si="2"/>
        <v>0.13592277219068191</v>
      </c>
      <c r="J26" s="22">
        <f t="shared" si="3"/>
        <v>-0.11035678391665642</v>
      </c>
    </row>
    <row r="27" spans="2:13" x14ac:dyDescent="0.2">
      <c r="B27" s="129"/>
      <c r="C27" s="129"/>
      <c r="F27" s="136">
        <f t="shared" si="4"/>
        <v>1.6000000000000003</v>
      </c>
      <c r="G27" s="135">
        <f t="shared" si="0"/>
        <v>-0.60000000000000031</v>
      </c>
      <c r="H27" s="22">
        <f t="shared" si="1"/>
        <v>3.7999999999999992E-2</v>
      </c>
      <c r="I27" s="22">
        <f t="shared" si="2"/>
        <v>0.15021318184500326</v>
      </c>
      <c r="J27" s="22">
        <f t="shared" si="3"/>
        <v>-0.14645851801941456</v>
      </c>
    </row>
    <row r="29" spans="2:13" x14ac:dyDescent="0.2">
      <c r="B29" s="134"/>
      <c r="C29" s="134"/>
      <c r="D29" s="133"/>
      <c r="F29" s="36" t="s">
        <v>70</v>
      </c>
      <c r="G29" s="4"/>
      <c r="H29" s="4"/>
      <c r="I29" s="4"/>
      <c r="J29" s="4"/>
    </row>
    <row r="30" spans="2:13" x14ac:dyDescent="0.2">
      <c r="B30" s="134"/>
      <c r="C30" s="134"/>
      <c r="D30" s="133"/>
      <c r="F30" s="66">
        <f>F31-1%</f>
        <v>1.0275939849624058</v>
      </c>
      <c r="G30" s="67">
        <f>1-F30</f>
        <v>-2.7593984962405838E-2</v>
      </c>
      <c r="H30" s="67">
        <f>F30*$D$11+(1-F30)*$D$16</f>
        <v>7.8068421052631592E-2</v>
      </c>
      <c r="I30" s="68">
        <f>SQRT(F30^2*$D$13+(1-F30)^2*$D$18+2*F30*(1-F30)*$D$22)</f>
        <v>9.9737650977734543E-2</v>
      </c>
      <c r="J30" s="67">
        <f>(H30-rf)/I30</f>
        <v>0.18115948065254908</v>
      </c>
    </row>
    <row r="31" spans="2:13" x14ac:dyDescent="0.2">
      <c r="B31" s="134"/>
      <c r="C31" s="134"/>
      <c r="D31" s="133"/>
      <c r="E31" s="132" t="s">
        <v>76</v>
      </c>
      <c r="F31" s="70">
        <f>(D18-(D21*D12*D17))/(D13+D18-(2*D21*D12*D17))</f>
        <v>1.0375939849624058</v>
      </c>
      <c r="G31" s="22">
        <f>1-F31</f>
        <v>-3.7593984962405846E-2</v>
      </c>
      <c r="H31" s="22">
        <f>F31*$D$11+(1-F31)*$D$16</f>
        <v>7.73684210526316E-2</v>
      </c>
      <c r="I31" s="69">
        <f>SQRT(F31^2*$D$13+(1-F31)^2*$D$18+2*F31*(1-F31)*$D$22)</f>
        <v>9.9717646495273815E-2</v>
      </c>
      <c r="J31" s="22">
        <f>(H31-rf)/I31</f>
        <v>0.17417600257397561</v>
      </c>
      <c r="L31" s="131">
        <f>ROUND(H31,3)</f>
        <v>7.6999999999999999E-2</v>
      </c>
      <c r="M31" s="131">
        <f>ROUND(I31,3)</f>
        <v>0.1</v>
      </c>
    </row>
    <row r="32" spans="2:13" x14ac:dyDescent="0.2">
      <c r="B32" s="134"/>
      <c r="C32" s="134"/>
      <c r="D32" s="133"/>
      <c r="E32" s="132" t="s">
        <v>77</v>
      </c>
      <c r="F32" s="66">
        <f>F31+1%</f>
        <v>1.0475939849624059</v>
      </c>
      <c r="G32" s="67">
        <f>1-F32</f>
        <v>-4.7593984962405855E-2</v>
      </c>
      <c r="H32" s="67">
        <f>F32*$D$11+(1-F32)*$D$16</f>
        <v>7.6668421052631594E-2</v>
      </c>
      <c r="I32" s="68">
        <f>SQRT(F32^2*$D$13+(1-F32)^2*$D$18+2*F32*(1-F32)*$D$22)</f>
        <v>9.9737650977734557E-2</v>
      </c>
      <c r="J32" s="67">
        <f>(H32-rf)/I32</f>
        <v>0.16712265517815991</v>
      </c>
    </row>
    <row r="33" spans="4:18" x14ac:dyDescent="0.2">
      <c r="D33" s="35"/>
      <c r="E33" s="132" t="s">
        <v>78</v>
      </c>
      <c r="F33" s="36" t="s">
        <v>71</v>
      </c>
      <c r="G33" s="4"/>
      <c r="H33" s="4"/>
      <c r="I33" s="4"/>
      <c r="J33" s="4"/>
    </row>
    <row r="34" spans="4:18" x14ac:dyDescent="0.2">
      <c r="F34" s="66">
        <f>F35-1%</f>
        <v>0.55818181818181833</v>
      </c>
      <c r="G34" s="67">
        <f>1-F34</f>
        <v>0.44181818181818167</v>
      </c>
      <c r="H34" s="67">
        <f>F34*$D$11+(1-F34)*$D$16</f>
        <v>0.11092727272727271</v>
      </c>
      <c r="I34" s="67">
        <f>SQRT(F34^2*$D$13+(1-F34)^2*$D$18+2*F34*(1-F34)*$D$22)</f>
        <v>0.13825363086111334</v>
      </c>
      <c r="J34" s="68">
        <f>(H34-rf)/I34</f>
        <v>0.36836119536298595</v>
      </c>
    </row>
    <row r="35" spans="4:18" x14ac:dyDescent="0.2">
      <c r="F35" s="71">
        <f>sigma_b*(r_b*rho_ab*sigma_a-rf*rho_ab*sigma_a-r_a*sigma_b+rf*sigma_b)/(-r_b*sigma_a^2+rf*sigma_a^2+r_a*rho_ab*sigma_a*sigma_b+r_b*rho_ab*sigma_a*sigma_b-2*rf*rho_ab*sigma_a*sigma_b-r_a*sigma_b^2+rf*sigma_b^2)</f>
        <v>0.56818181818181834</v>
      </c>
      <c r="G35" s="22">
        <f>1-F35</f>
        <v>0.43181818181818166</v>
      </c>
      <c r="H35" s="22">
        <f>F35*$D$11+(1-F35)*$D$16</f>
        <v>0.11022727272727272</v>
      </c>
      <c r="I35" s="22">
        <f>SQRT(F35^2*$D$13+(1-F35)^2*$D$18+2*F35*(1-F35)*$D$22)</f>
        <v>0.13687762979095627</v>
      </c>
      <c r="J35" s="69">
        <f>(H35-rf)/I35</f>
        <v>0.36695019342445767</v>
      </c>
      <c r="L35" s="131">
        <f>ROUND(H35,3)</f>
        <v>0.11</v>
      </c>
      <c r="M35" s="131">
        <f>ROUND(I35,3)</f>
        <v>0.13700000000000001</v>
      </c>
      <c r="N35" s="59">
        <f>(L35-rf)/M35</f>
        <v>0.36496350364963503</v>
      </c>
      <c r="O35" s="59">
        <f>N35</f>
        <v>0.36496350364963503</v>
      </c>
      <c r="R35" s="129">
        <f>(0.11-0.04)/0.137</f>
        <v>0.51094890510948909</v>
      </c>
    </row>
    <row r="36" spans="4:18" x14ac:dyDescent="0.2">
      <c r="F36" s="66">
        <f>F35+1%</f>
        <v>0.57818181818181835</v>
      </c>
      <c r="G36" s="67">
        <f>1-F36</f>
        <v>0.42181818181818165</v>
      </c>
      <c r="H36" s="67">
        <f>F36*$D$11+(1-F36)*$D$16</f>
        <v>0.10952727272727272</v>
      </c>
      <c r="I36" s="67">
        <f>SQRT(F36^2*$D$13+(1-F36)^2*$D$18+2*F36*(1-F36)*$D$22)</f>
        <v>0.13551710086959198</v>
      </c>
      <c r="J36" s="68">
        <f>(H36-rf)/I36</f>
        <v>0.3654688036377991</v>
      </c>
    </row>
    <row r="37" spans="4:18" x14ac:dyDescent="0.2">
      <c r="F37" s="129" t="s">
        <v>41</v>
      </c>
    </row>
    <row r="38" spans="4:18" x14ac:dyDescent="0.2">
      <c r="F38" s="65" t="s">
        <v>40</v>
      </c>
      <c r="G38" s="65"/>
      <c r="H38" s="65"/>
    </row>
  </sheetData>
  <hyperlinks>
    <hyperlink ref="F38" r:id="rId1" location="post-45560" xr:uid="{5C619A57-DE33-498B-A16C-EACCF7DFE6C9}"/>
  </hyperlinks>
  <printOptions headings="1" gridLines="1"/>
  <pageMargins left="0.75" right="0.75" top="1" bottom="1" header="0.5" footer="0.5"/>
  <pageSetup orientation="portrait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98456-F289-44B2-B491-AA21FD80D190}">
  <dimension ref="A2:N34"/>
  <sheetViews>
    <sheetView showGridLines="0" zoomScaleNormal="100" workbookViewId="0"/>
  </sheetViews>
  <sheetFormatPr defaultColWidth="9.140625" defaultRowHeight="12.75" x14ac:dyDescent="0.2"/>
  <cols>
    <col min="1" max="1" width="1.7109375" style="129" customWidth="1"/>
    <col min="2" max="2" width="3.7109375" style="130" customWidth="1"/>
    <col min="3" max="3" width="17.28515625" style="130" customWidth="1"/>
    <col min="4" max="4" width="9" style="129" customWidth="1"/>
    <col min="5" max="5" width="4.42578125" style="129" customWidth="1"/>
    <col min="6" max="6" width="7.7109375" style="129" bestFit="1" customWidth="1"/>
    <col min="7" max="7" width="9.140625" style="129" customWidth="1"/>
    <col min="8" max="8" width="10.140625" style="129" customWidth="1"/>
    <col min="9" max="10" width="9.140625" style="129"/>
    <col min="11" max="11" width="2.7109375" style="129" customWidth="1"/>
    <col min="12" max="16384" width="9.140625" style="129"/>
  </cols>
  <sheetData>
    <row r="2" spans="1:14" s="63" customFormat="1" x14ac:dyDescent="0.2">
      <c r="A2" s="61"/>
      <c r="B2" s="61" t="s">
        <v>42</v>
      </c>
      <c r="C2" s="62"/>
    </row>
    <row r="3" spans="1:14" x14ac:dyDescent="0.2">
      <c r="B3" s="2" t="s">
        <v>24</v>
      </c>
      <c r="C3" s="3"/>
      <c r="D3" s="4"/>
      <c r="E3" s="4"/>
      <c r="F3" s="4"/>
    </row>
    <row r="4" spans="1:14" x14ac:dyDescent="0.2">
      <c r="B4" s="106" t="s">
        <v>79</v>
      </c>
      <c r="C4" s="107"/>
      <c r="D4" s="108"/>
      <c r="E4" s="108"/>
      <c r="F4" s="108"/>
    </row>
    <row r="6" spans="1:14" x14ac:dyDescent="0.2">
      <c r="C6" s="122" t="s">
        <v>1</v>
      </c>
      <c r="D6" s="123">
        <f>'BTPQ 20-8-1'!D8</f>
        <v>0.04</v>
      </c>
    </row>
    <row r="7" spans="1:14" x14ac:dyDescent="0.2">
      <c r="F7" s="153" t="s">
        <v>3</v>
      </c>
      <c r="G7" s="153" t="s">
        <v>3</v>
      </c>
      <c r="H7" s="46" t="s">
        <v>4</v>
      </c>
      <c r="I7" s="141"/>
    </row>
    <row r="8" spans="1:14" x14ac:dyDescent="0.2">
      <c r="B8" s="134"/>
      <c r="F8" s="153" t="s">
        <v>25</v>
      </c>
      <c r="G8" s="153" t="s">
        <v>26</v>
      </c>
      <c r="H8" s="46" t="s">
        <v>8</v>
      </c>
      <c r="I8" s="141"/>
    </row>
    <row r="9" spans="1:14" x14ac:dyDescent="0.2">
      <c r="B9" s="140" t="s">
        <v>27</v>
      </c>
      <c r="C9" s="140"/>
      <c r="D9" s="152" t="s">
        <v>28</v>
      </c>
      <c r="F9" s="151" t="s">
        <v>29</v>
      </c>
      <c r="G9" s="151" t="s">
        <v>2</v>
      </c>
      <c r="H9" s="50" t="s">
        <v>30</v>
      </c>
      <c r="I9" s="150" t="s">
        <v>31</v>
      </c>
    </row>
    <row r="10" spans="1:14" x14ac:dyDescent="0.2">
      <c r="B10" s="130" t="s">
        <v>6</v>
      </c>
      <c r="D10" s="51">
        <f>'BTPQ 20-8-1'!$F$35</f>
        <v>0.56818181818181834</v>
      </c>
      <c r="F10" s="149">
        <v>1</v>
      </c>
      <c r="G10" s="149">
        <f t="shared" ref="G10:G27" si="0">1-F10</f>
        <v>0</v>
      </c>
      <c r="H10" s="53">
        <f t="shared" ref="H10:H27" si="1">F10*$D$6+G10*$D$12</f>
        <v>0.04</v>
      </c>
      <c r="I10" s="148">
        <f t="shared" ref="I10:I27" si="2">G10*$D$13</f>
        <v>0</v>
      </c>
    </row>
    <row r="11" spans="1:14" x14ac:dyDescent="0.2">
      <c r="B11" s="130" t="s">
        <v>7</v>
      </c>
      <c r="D11" s="55">
        <f>1-D10</f>
        <v>0.43181818181818166</v>
      </c>
      <c r="F11" s="149">
        <f t="shared" ref="F11:F27" si="3">F10-10%</f>
        <v>0.9</v>
      </c>
      <c r="G11" s="149">
        <f t="shared" si="0"/>
        <v>9.9999999999999978E-2</v>
      </c>
      <c r="H11" s="53">
        <f t="shared" si="1"/>
        <v>4.7E-2</v>
      </c>
      <c r="I11" s="148">
        <f t="shared" si="2"/>
        <v>1.3699999999999999E-2</v>
      </c>
    </row>
    <row r="12" spans="1:14" x14ac:dyDescent="0.2">
      <c r="B12" s="130" t="s">
        <v>80</v>
      </c>
      <c r="D12" s="78">
        <f>ROUND('BTPQ 20-8-1'!$H$35,3)</f>
        <v>0.11</v>
      </c>
      <c r="F12" s="149">
        <f t="shared" si="3"/>
        <v>0.8</v>
      </c>
      <c r="G12" s="149">
        <f t="shared" si="0"/>
        <v>0.19999999999999996</v>
      </c>
      <c r="H12" s="53">
        <f t="shared" si="1"/>
        <v>5.3999999999999992E-2</v>
      </c>
      <c r="I12" s="148">
        <f t="shared" si="2"/>
        <v>2.7399999999999997E-2</v>
      </c>
    </row>
    <row r="13" spans="1:14" x14ac:dyDescent="0.2">
      <c r="B13" s="130" t="s">
        <v>81</v>
      </c>
      <c r="D13" s="78">
        <f>ROUND('BTPQ 20-8-1'!$I$35,3)</f>
        <v>0.13700000000000001</v>
      </c>
      <c r="F13" s="149">
        <f t="shared" si="3"/>
        <v>0.70000000000000007</v>
      </c>
      <c r="G13" s="149">
        <f t="shared" si="0"/>
        <v>0.29999999999999993</v>
      </c>
      <c r="H13" s="53">
        <f t="shared" si="1"/>
        <v>6.0999999999999999E-2</v>
      </c>
      <c r="I13" s="148">
        <f t="shared" si="2"/>
        <v>4.1099999999999991E-2</v>
      </c>
    </row>
    <row r="14" spans="1:14" x14ac:dyDescent="0.2">
      <c r="B14" s="129"/>
      <c r="C14" s="129"/>
      <c r="F14" s="149">
        <f t="shared" si="3"/>
        <v>0.60000000000000009</v>
      </c>
      <c r="G14" s="149">
        <f t="shared" si="0"/>
        <v>0.39999999999999991</v>
      </c>
      <c r="H14" s="53">
        <f t="shared" si="1"/>
        <v>6.7999999999999991E-2</v>
      </c>
      <c r="I14" s="148">
        <f t="shared" si="2"/>
        <v>5.4799999999999995E-2</v>
      </c>
      <c r="N14" s="141"/>
    </row>
    <row r="15" spans="1:14" x14ac:dyDescent="0.2">
      <c r="B15" s="129"/>
      <c r="C15" s="129"/>
      <c r="F15" s="149">
        <f t="shared" si="3"/>
        <v>0.50000000000000011</v>
      </c>
      <c r="G15" s="149">
        <f t="shared" si="0"/>
        <v>0.49999999999999989</v>
      </c>
      <c r="H15" s="53">
        <f t="shared" si="1"/>
        <v>7.4999999999999983E-2</v>
      </c>
      <c r="I15" s="148">
        <f t="shared" si="2"/>
        <v>6.8499999999999991E-2</v>
      </c>
    </row>
    <row r="16" spans="1:14" x14ac:dyDescent="0.2">
      <c r="B16" s="129"/>
      <c r="C16" s="129"/>
      <c r="F16" s="149">
        <f t="shared" si="3"/>
        <v>0.40000000000000013</v>
      </c>
      <c r="G16" s="149">
        <f t="shared" si="0"/>
        <v>0.59999999999999987</v>
      </c>
      <c r="H16" s="53">
        <f t="shared" si="1"/>
        <v>8.199999999999999E-2</v>
      </c>
      <c r="I16" s="148">
        <f t="shared" si="2"/>
        <v>8.2199999999999981E-2</v>
      </c>
    </row>
    <row r="17" spans="2:9" x14ac:dyDescent="0.2">
      <c r="B17" s="129"/>
      <c r="C17" s="129"/>
      <c r="F17" s="149">
        <f t="shared" si="3"/>
        <v>0.30000000000000016</v>
      </c>
      <c r="G17" s="149">
        <f t="shared" si="0"/>
        <v>0.69999999999999984</v>
      </c>
      <c r="H17" s="53">
        <f t="shared" si="1"/>
        <v>8.8999999999999996E-2</v>
      </c>
      <c r="I17" s="148">
        <f t="shared" si="2"/>
        <v>9.5899999999999985E-2</v>
      </c>
    </row>
    <row r="18" spans="2:9" x14ac:dyDescent="0.2">
      <c r="B18" s="129"/>
      <c r="C18" s="129"/>
      <c r="F18" s="149">
        <f t="shared" si="3"/>
        <v>0.20000000000000015</v>
      </c>
      <c r="G18" s="149">
        <f t="shared" si="0"/>
        <v>0.79999999999999982</v>
      </c>
      <c r="H18" s="53">
        <f t="shared" si="1"/>
        <v>9.5999999999999988E-2</v>
      </c>
      <c r="I18" s="148">
        <f t="shared" si="2"/>
        <v>0.10959999999999999</v>
      </c>
    </row>
    <row r="19" spans="2:9" x14ac:dyDescent="0.2">
      <c r="B19" s="129"/>
      <c r="C19" s="129"/>
      <c r="F19" s="149">
        <f t="shared" si="3"/>
        <v>0.10000000000000014</v>
      </c>
      <c r="G19" s="149">
        <f t="shared" si="0"/>
        <v>0.89999999999999991</v>
      </c>
      <c r="H19" s="53">
        <f t="shared" si="1"/>
        <v>0.10299999999999999</v>
      </c>
      <c r="I19" s="148">
        <f t="shared" si="2"/>
        <v>0.12329999999999999</v>
      </c>
    </row>
    <row r="20" spans="2:9" x14ac:dyDescent="0.2">
      <c r="B20" s="129"/>
      <c r="C20" s="129"/>
      <c r="F20" s="149">
        <f t="shared" si="3"/>
        <v>1.3877787807814457E-16</v>
      </c>
      <c r="G20" s="149">
        <f t="shared" si="0"/>
        <v>0.99999999999999989</v>
      </c>
      <c r="H20" s="53">
        <f t="shared" si="1"/>
        <v>0.10999999999999999</v>
      </c>
      <c r="I20" s="148">
        <f t="shared" si="2"/>
        <v>0.13699999999999998</v>
      </c>
    </row>
    <row r="21" spans="2:9" x14ac:dyDescent="0.2">
      <c r="B21" s="129"/>
      <c r="C21" s="129"/>
      <c r="F21" s="149">
        <f t="shared" si="3"/>
        <v>-9.9999999999999867E-2</v>
      </c>
      <c r="G21" s="149">
        <f t="shared" si="0"/>
        <v>1.0999999999999999</v>
      </c>
      <c r="H21" s="53">
        <f t="shared" si="1"/>
        <v>0.11699999999999999</v>
      </c>
      <c r="I21" s="148">
        <f t="shared" si="2"/>
        <v>0.1507</v>
      </c>
    </row>
    <row r="22" spans="2:9" x14ac:dyDescent="0.2">
      <c r="B22" s="129"/>
      <c r="C22" s="129"/>
      <c r="F22" s="149">
        <f t="shared" si="3"/>
        <v>-0.19999999999999987</v>
      </c>
      <c r="G22" s="149">
        <f t="shared" si="0"/>
        <v>1.2</v>
      </c>
      <c r="H22" s="53">
        <f t="shared" si="1"/>
        <v>0.12400000000000001</v>
      </c>
      <c r="I22" s="148">
        <f t="shared" si="2"/>
        <v>0.16440000000000002</v>
      </c>
    </row>
    <row r="23" spans="2:9" x14ac:dyDescent="0.2">
      <c r="B23" s="129"/>
      <c r="C23" s="129"/>
      <c r="F23" s="149">
        <f t="shared" si="3"/>
        <v>-0.29999999999999988</v>
      </c>
      <c r="G23" s="149">
        <f t="shared" si="0"/>
        <v>1.2999999999999998</v>
      </c>
      <c r="H23" s="53">
        <f t="shared" si="1"/>
        <v>0.13100000000000001</v>
      </c>
      <c r="I23" s="148">
        <f t="shared" si="2"/>
        <v>0.17809999999999998</v>
      </c>
    </row>
    <row r="24" spans="2:9" x14ac:dyDescent="0.2">
      <c r="B24" s="129"/>
      <c r="C24" s="129"/>
      <c r="F24" s="149">
        <f t="shared" si="3"/>
        <v>-0.39999999999999991</v>
      </c>
      <c r="G24" s="149">
        <f t="shared" si="0"/>
        <v>1.4</v>
      </c>
      <c r="H24" s="53">
        <f t="shared" si="1"/>
        <v>0.13800000000000001</v>
      </c>
      <c r="I24" s="148">
        <f t="shared" si="2"/>
        <v>0.1918</v>
      </c>
    </row>
    <row r="25" spans="2:9" x14ac:dyDescent="0.2">
      <c r="B25" s="129"/>
      <c r="C25" s="129"/>
      <c r="F25" s="149">
        <f t="shared" si="3"/>
        <v>-0.49999999999999989</v>
      </c>
      <c r="G25" s="149">
        <f t="shared" si="0"/>
        <v>1.5</v>
      </c>
      <c r="H25" s="53">
        <f t="shared" si="1"/>
        <v>0.14500000000000002</v>
      </c>
      <c r="I25" s="148">
        <f t="shared" si="2"/>
        <v>0.20550000000000002</v>
      </c>
    </row>
    <row r="26" spans="2:9" x14ac:dyDescent="0.2">
      <c r="B26" s="129"/>
      <c r="C26" s="129"/>
      <c r="F26" s="149">
        <f t="shared" si="3"/>
        <v>-0.59999999999999987</v>
      </c>
      <c r="G26" s="149">
        <f t="shared" si="0"/>
        <v>1.5999999999999999</v>
      </c>
      <c r="H26" s="53">
        <f t="shared" si="1"/>
        <v>0.152</v>
      </c>
      <c r="I26" s="148">
        <f t="shared" si="2"/>
        <v>0.21920000000000001</v>
      </c>
    </row>
    <row r="27" spans="2:9" x14ac:dyDescent="0.2">
      <c r="B27" s="129"/>
      <c r="C27" s="129"/>
      <c r="F27" s="149">
        <f t="shared" si="3"/>
        <v>-0.69999999999999984</v>
      </c>
      <c r="G27" s="149">
        <f t="shared" si="0"/>
        <v>1.6999999999999997</v>
      </c>
      <c r="H27" s="53">
        <f t="shared" si="1"/>
        <v>0.15899999999999997</v>
      </c>
      <c r="I27" s="148">
        <f t="shared" si="2"/>
        <v>0.23289999999999997</v>
      </c>
    </row>
    <row r="34" spans="7:8" x14ac:dyDescent="0.2">
      <c r="G34" s="148">
        <f>D6</f>
        <v>0.04</v>
      </c>
      <c r="H34" s="147">
        <f>(D12-D6)/D13</f>
        <v>0.51094890510948909</v>
      </c>
    </row>
  </sheetData>
  <printOptions headings="1" gridLines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9B047-43D7-4ED7-8AF9-970E3514F48E}">
  <dimension ref="C3:P32"/>
  <sheetViews>
    <sheetView showGridLines="0" workbookViewId="0">
      <selection activeCell="S32" sqref="S32"/>
    </sheetView>
  </sheetViews>
  <sheetFormatPr defaultRowHeight="15.75" x14ac:dyDescent="0.25"/>
  <cols>
    <col min="1" max="2" width="9.140625" style="154"/>
    <col min="3" max="6" width="11.7109375" style="154" customWidth="1"/>
    <col min="7" max="16384" width="9.140625" style="154"/>
  </cols>
  <sheetData>
    <row r="3" spans="3:14" x14ac:dyDescent="0.25">
      <c r="C3" s="167" t="s">
        <v>93</v>
      </c>
      <c r="D3" s="182">
        <v>0.03</v>
      </c>
      <c r="M3" s="154" t="s">
        <v>26</v>
      </c>
      <c r="N3" s="170">
        <v>0.09</v>
      </c>
    </row>
    <row r="4" spans="3:14" x14ac:dyDescent="0.25">
      <c r="M4" s="154" t="s">
        <v>92</v>
      </c>
      <c r="N4" s="179">
        <f>(N3-D3)</f>
        <v>0.06</v>
      </c>
    </row>
    <row r="5" spans="3:14" x14ac:dyDescent="0.25">
      <c r="C5" s="181"/>
      <c r="D5" s="181"/>
      <c r="E5" s="181" t="s">
        <v>5</v>
      </c>
      <c r="F5" s="181"/>
    </row>
    <row r="6" spans="3:14" x14ac:dyDescent="0.25">
      <c r="C6" s="180" t="s">
        <v>2</v>
      </c>
      <c r="D6" s="180" t="s">
        <v>90</v>
      </c>
      <c r="E6" s="180" t="s">
        <v>9</v>
      </c>
      <c r="F6" s="180" t="s">
        <v>37</v>
      </c>
      <c r="J6" s="167" t="s">
        <v>87</v>
      </c>
      <c r="K6" s="167" t="s">
        <v>86</v>
      </c>
    </row>
    <row r="7" spans="3:14" x14ac:dyDescent="0.25">
      <c r="C7" s="175" t="s">
        <v>26</v>
      </c>
      <c r="D7" s="179">
        <f>N3</f>
        <v>0.09</v>
      </c>
      <c r="E7" s="170">
        <v>0.2</v>
      </c>
      <c r="F7" s="178">
        <v>1</v>
      </c>
      <c r="I7" s="156">
        <f>$D$3+F7*$N$4</f>
        <v>0.09</v>
      </c>
      <c r="J7" s="154">
        <f>(I7-$D$3)/F7</f>
        <v>0.06</v>
      </c>
      <c r="K7" s="158">
        <f>(D7-$D$3)/E7</f>
        <v>0.3</v>
      </c>
    </row>
    <row r="8" spans="3:14" x14ac:dyDescent="0.25">
      <c r="C8" s="175" t="s">
        <v>85</v>
      </c>
      <c r="D8" s="177">
        <f>I8</f>
        <v>7.8E-2</v>
      </c>
      <c r="E8" s="176">
        <v>0.3</v>
      </c>
      <c r="F8" s="154">
        <v>0.8</v>
      </c>
      <c r="I8" s="156">
        <f>$D$3+F8*$N$4</f>
        <v>7.8E-2</v>
      </c>
      <c r="J8" s="154">
        <f>(I8-$D$3)/F8</f>
        <v>0.06</v>
      </c>
      <c r="K8" s="158">
        <f>(D8-$D$3)/E8</f>
        <v>0.16</v>
      </c>
    </row>
    <row r="9" spans="3:14" x14ac:dyDescent="0.25">
      <c r="C9" s="175" t="s">
        <v>84</v>
      </c>
      <c r="D9" s="177">
        <f>I9</f>
        <v>0.10199999999999999</v>
      </c>
      <c r="E9" s="176">
        <v>0.4</v>
      </c>
      <c r="F9" s="154">
        <v>1.2</v>
      </c>
      <c r="I9" s="156">
        <f>$D$3+F9*$N$4</f>
        <v>0.10199999999999999</v>
      </c>
      <c r="J9" s="154">
        <f>(I9-$D$3)/F9</f>
        <v>0.06</v>
      </c>
      <c r="K9" s="158">
        <f>(D9-$D$3)/E9</f>
        <v>0.17999999999999997</v>
      </c>
    </row>
    <row r="10" spans="3:14" x14ac:dyDescent="0.25">
      <c r="C10" s="175" t="s">
        <v>83</v>
      </c>
      <c r="D10" s="177">
        <f>I10</f>
        <v>0.11399999999999999</v>
      </c>
      <c r="E10" s="176">
        <v>0.35</v>
      </c>
      <c r="F10" s="154">
        <v>1.4</v>
      </c>
      <c r="I10" s="156">
        <f>$D$3+F10*$N$4</f>
        <v>0.11399999999999999</v>
      </c>
      <c r="J10" s="154">
        <f>(I10-$D$3)/F10</f>
        <v>0.06</v>
      </c>
      <c r="K10" s="158">
        <f>(D10-$D$3)/E10</f>
        <v>0.24</v>
      </c>
    </row>
    <row r="11" spans="3:14" x14ac:dyDescent="0.25">
      <c r="C11" s="175"/>
      <c r="K11" s="158"/>
    </row>
    <row r="19" spans="3:16" x14ac:dyDescent="0.25">
      <c r="N19" s="174">
        <v>0.03</v>
      </c>
    </row>
    <row r="20" spans="3:16" x14ac:dyDescent="0.25">
      <c r="M20" s="154" t="s">
        <v>26</v>
      </c>
      <c r="N20" s="170">
        <v>0.09</v>
      </c>
    </row>
    <row r="21" spans="3:16" x14ac:dyDescent="0.25">
      <c r="M21" s="154" t="s">
        <v>92</v>
      </c>
      <c r="N21" s="170">
        <f>(N20-N19)</f>
        <v>0.06</v>
      </c>
    </row>
    <row r="22" spans="3:16" x14ac:dyDescent="0.25">
      <c r="C22" s="173" t="str">
        <f>"Riskfree rate = "&amp;TEXT(N19,"0.0%")</f>
        <v>Riskfree rate = 3.0%</v>
      </c>
      <c r="D22" s="172">
        <v>0.03</v>
      </c>
      <c r="E22" s="169" t="s">
        <v>5</v>
      </c>
      <c r="F22" s="171"/>
      <c r="N22" s="170"/>
    </row>
    <row r="23" spans="3:16" x14ac:dyDescent="0.25">
      <c r="C23" s="169"/>
      <c r="D23" s="169"/>
      <c r="E23" s="169" t="s">
        <v>91</v>
      </c>
      <c r="F23" s="169" t="s">
        <v>37</v>
      </c>
    </row>
    <row r="24" spans="3:16" x14ac:dyDescent="0.25">
      <c r="C24" s="168" t="s">
        <v>2</v>
      </c>
      <c r="D24" s="168" t="s">
        <v>90</v>
      </c>
      <c r="E24" s="168" t="s">
        <v>89</v>
      </c>
      <c r="F24" s="168" t="s">
        <v>88</v>
      </c>
      <c r="J24" s="167" t="s">
        <v>87</v>
      </c>
      <c r="K24" s="167" t="s">
        <v>86</v>
      </c>
    </row>
    <row r="25" spans="3:16" x14ac:dyDescent="0.25">
      <c r="C25" s="163" t="s">
        <v>26</v>
      </c>
      <c r="D25" s="166">
        <f>N20</f>
        <v>0.09</v>
      </c>
      <c r="E25" s="166">
        <v>0.2</v>
      </c>
      <c r="F25" s="165">
        <v>1</v>
      </c>
      <c r="I25" s="156">
        <f>$D$3+F25*$N$4</f>
        <v>0.09</v>
      </c>
      <c r="J25" s="164">
        <f>(I25-$D$3)/F25</f>
        <v>0.06</v>
      </c>
      <c r="K25" s="158">
        <f>(D25-$D$3)/E25</f>
        <v>0.3</v>
      </c>
    </row>
    <row r="26" spans="3:16" x14ac:dyDescent="0.25">
      <c r="C26" s="163" t="s">
        <v>85</v>
      </c>
      <c r="D26" s="162">
        <f>I26</f>
        <v>7.8E-2</v>
      </c>
      <c r="E26" s="161">
        <v>0.3</v>
      </c>
      <c r="F26" s="160">
        <v>0.8</v>
      </c>
      <c r="I26" s="156">
        <f>$D$3+F26*$N$4</f>
        <v>7.8E-2</v>
      </c>
      <c r="J26" s="164">
        <f>(I26-$D$3)/F26</f>
        <v>0.06</v>
      </c>
      <c r="K26" s="158">
        <f>(D26-$D$3)/E26</f>
        <v>0.16</v>
      </c>
    </row>
    <row r="27" spans="3:16" x14ac:dyDescent="0.25">
      <c r="C27" s="163" t="s">
        <v>84</v>
      </c>
      <c r="D27" s="162">
        <f>I27</f>
        <v>0.10199999999999999</v>
      </c>
      <c r="E27" s="161">
        <v>0.26</v>
      </c>
      <c r="F27" s="160">
        <v>1.2</v>
      </c>
      <c r="I27" s="156">
        <f>$D$3+F27*$N$4</f>
        <v>0.10199999999999999</v>
      </c>
      <c r="J27" s="164">
        <f>(I27-$D$3)/F27</f>
        <v>0.06</v>
      </c>
      <c r="K27" s="158">
        <f>(D27-$D$3)/E27</f>
        <v>0.27692307692307688</v>
      </c>
    </row>
    <row r="28" spans="3:16" x14ac:dyDescent="0.25">
      <c r="C28" s="163" t="s">
        <v>83</v>
      </c>
      <c r="D28" s="162">
        <v>0.13</v>
      </c>
      <c r="E28" s="161">
        <v>0.35</v>
      </c>
      <c r="F28" s="160">
        <v>1.4</v>
      </c>
      <c r="I28" s="156">
        <f>D28</f>
        <v>0.13</v>
      </c>
      <c r="J28" s="159">
        <f>(I28-$D$3)/F28</f>
        <v>7.1428571428571438E-2</v>
      </c>
      <c r="K28" s="158">
        <f>(D28-$D$3)/E28</f>
        <v>0.28571428571428575</v>
      </c>
      <c r="M28" s="157">
        <f>D28-D22-F28*(D25-D22)</f>
        <v>1.6000000000000014E-2</v>
      </c>
      <c r="P28" s="156">
        <f>D22+(D25-D22)*F28</f>
        <v>0.11399999999999999</v>
      </c>
    </row>
    <row r="30" spans="3:16" x14ac:dyDescent="0.25">
      <c r="D30" s="156">
        <f>F28*(D25-3%)+3%</f>
        <v>0.11399999999999999</v>
      </c>
    </row>
    <row r="32" spans="3:16" ht="16.5" x14ac:dyDescent="0.3">
      <c r="D32" s="155">
        <f>13% - 3% - 1.4* (9% - 3%)</f>
        <v>1.6000000000000014E-2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19</vt:i4>
      </vt:variant>
    </vt:vector>
  </HeadingPairs>
  <TitlesOfParts>
    <vt:vector size="36" baseType="lpstr">
      <vt:lpstr>TOC</vt:lpstr>
      <vt:lpstr>T1-PPC-MVP</vt:lpstr>
      <vt:lpstr>T1-CML</vt:lpstr>
      <vt:lpstr>T1-SML</vt:lpstr>
      <vt:lpstr>CML vs SML</vt:lpstr>
      <vt:lpstr>arch</vt:lpstr>
      <vt:lpstr>BTPQ 20-8-1</vt:lpstr>
      <vt:lpstr>BTPQ 20-8-1a</vt:lpstr>
      <vt:lpstr>BTPQ 20-8-2</vt:lpstr>
      <vt:lpstr>BTPQ 20-8-3</vt:lpstr>
      <vt:lpstr>T1-PPC-MVP_alt2</vt:lpstr>
      <vt:lpstr>T1-SML_alt2</vt:lpstr>
      <vt:lpstr>T1-Market Portfolio</vt:lpstr>
      <vt:lpstr>BT p1-t2-305-1</vt:lpstr>
      <vt:lpstr>BT p1-t2-305-1_alt2</vt:lpstr>
      <vt:lpstr>BT p1-t2-305-2</vt:lpstr>
      <vt:lpstr>BT p1-t2-305-2_alt2</vt:lpstr>
      <vt:lpstr>___INDEX_SHEET___ASAP_Utilities</vt:lpstr>
      <vt:lpstr>'CML vs SML'!r_a</vt:lpstr>
      <vt:lpstr>'T1-PPC-MVP_alt2'!r_a</vt:lpstr>
      <vt:lpstr>r_a</vt:lpstr>
      <vt:lpstr>'CML vs SML'!r_b</vt:lpstr>
      <vt:lpstr>'T1-PPC-MVP_alt2'!r_b</vt:lpstr>
      <vt:lpstr>r_b</vt:lpstr>
      <vt:lpstr>'CML vs SML'!rf</vt:lpstr>
      <vt:lpstr>'T1-PPC-MVP_alt2'!rf</vt:lpstr>
      <vt:lpstr>rf</vt:lpstr>
      <vt:lpstr>'CML vs SML'!rho_ab</vt:lpstr>
      <vt:lpstr>'T1-PPC-MVP_alt2'!rho_ab</vt:lpstr>
      <vt:lpstr>rho_ab</vt:lpstr>
      <vt:lpstr>'CML vs SML'!sigma_a</vt:lpstr>
      <vt:lpstr>'T1-PPC-MVP_alt2'!sigma_a</vt:lpstr>
      <vt:lpstr>sigma_a</vt:lpstr>
      <vt:lpstr>'CML vs SML'!sigma_b</vt:lpstr>
      <vt:lpstr>'T1-PPC-MVP_alt2'!sigma_b</vt:lpstr>
      <vt:lpstr>sigma_b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 Harper</cp:lastModifiedBy>
  <dcterms:created xsi:type="dcterms:W3CDTF">2013-03-14T00:59:12Z</dcterms:created>
  <dcterms:modified xsi:type="dcterms:W3CDTF">2022-03-16T05:33:32Z</dcterms:modified>
</cp:coreProperties>
</file>